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335" windowWidth="15210" windowHeight="6810" tabRatio="873" activeTab="3"/>
  </bookViews>
  <sheets>
    <sheet name="Параллель" sheetId="1" r:id="rId1"/>
    <sheet name="Диаграммы" sheetId="2" r:id="rId2"/>
    <sheet name="Процент_выполнения" sheetId="3" r:id="rId3"/>
    <sheet name="Отчет" sheetId="4" r:id="rId4"/>
    <sheet name="Английский_язык" sheetId="5" r:id="rId5"/>
    <sheet name="Астрономия" sheetId="6" r:id="rId6"/>
    <sheet name="Биология" sheetId="7" r:id="rId7"/>
    <sheet name="География" sheetId="8" r:id="rId8"/>
    <sheet name="Информатика" sheetId="9" r:id="rId9"/>
    <sheet name="Искусство" sheetId="10" r:id="rId10"/>
    <sheet name="Испанский_язык" sheetId="11" r:id="rId11"/>
    <sheet name="История" sheetId="12" r:id="rId12"/>
    <sheet name="Итальянский_язык" sheetId="13" r:id="rId13"/>
    <sheet name="Китайский_язык" sheetId="14" r:id="rId14"/>
    <sheet name="Литература" sheetId="15" r:id="rId15"/>
    <sheet name="Математика" sheetId="16" r:id="rId16"/>
    <sheet name="Немецкий_язык" sheetId="17" r:id="rId17"/>
    <sheet name="ОБЖ" sheetId="18" r:id="rId18"/>
    <sheet name="Обществознание" sheetId="19" r:id="rId19"/>
    <sheet name="Право" sheetId="20" r:id="rId20"/>
    <sheet name="Русский_язык" sheetId="21" r:id="rId21"/>
    <sheet name="Технология" sheetId="22" r:id="rId22"/>
    <sheet name="Физика" sheetId="23" r:id="rId23"/>
    <sheet name="Физическая_культура" sheetId="24" r:id="rId24"/>
    <sheet name="Французский_язык" sheetId="25" r:id="rId25"/>
    <sheet name="Химия" sheetId="26" r:id="rId26"/>
    <sheet name="Экология" sheetId="27" r:id="rId27"/>
    <sheet name="Экономика" sheetId="28" r:id="rId28"/>
    <sheet name="Коды" sheetId="29" r:id="rId29"/>
  </sheets>
  <definedNames>
    <definedName name="_xlfn.COUNTIFS" hidden="1">#NAME?</definedName>
    <definedName name="_xlnm._FilterDatabase" localSheetId="4" hidden="1">'Английский_язык'!$A$1:$Q$1</definedName>
    <definedName name="_xlnm._FilterDatabase" localSheetId="5" hidden="1">'Астрономия'!$A$1:$Q$1</definedName>
    <definedName name="_xlnm._FilterDatabase" localSheetId="6" hidden="1">'Биология'!$A$1:$P$10</definedName>
    <definedName name="_xlnm._FilterDatabase" localSheetId="7" hidden="1">'География'!$A$1:$Q$1</definedName>
    <definedName name="_xlnm._FilterDatabase" localSheetId="8" hidden="1">'Информатика'!$A$1:$Q$1</definedName>
    <definedName name="_xlnm._FilterDatabase" localSheetId="9" hidden="1">'Искусство'!$A$1:$Q$1</definedName>
    <definedName name="_xlnm._FilterDatabase" localSheetId="10" hidden="1">'Испанский_язык'!$A$1:$Q$20</definedName>
    <definedName name="_xlnm._FilterDatabase" localSheetId="11" hidden="1">'История'!$A$1:$Q$1</definedName>
    <definedName name="_xlnm._FilterDatabase" localSheetId="12" hidden="1">'Итальянский_язык'!$A$1:$Q$1</definedName>
    <definedName name="_xlnm._FilterDatabase" localSheetId="13" hidden="1">'Китайский_язык'!$A$1:$Q$1</definedName>
    <definedName name="_xlnm._FilterDatabase" localSheetId="14" hidden="1">'Литература'!$A$1:$Q$1</definedName>
    <definedName name="_xlnm._FilterDatabase" localSheetId="15" hidden="1">'Математика'!$A$1:$Q$1</definedName>
    <definedName name="_xlnm._FilterDatabase" localSheetId="16" hidden="1">'Немецкий_язык'!$A$1:$Q$1</definedName>
    <definedName name="_xlnm._FilterDatabase" localSheetId="17" hidden="1">'ОБЖ'!$A$1:$Q$1</definedName>
    <definedName name="_xlnm._FilterDatabase" localSheetId="18" hidden="1">'Обществознание'!$A$1:$Q$1</definedName>
    <definedName name="_xlnm._FilterDatabase" localSheetId="19" hidden="1">'Право'!$A$1:$Q$1</definedName>
    <definedName name="_xlnm._FilterDatabase" localSheetId="20" hidden="1">'Русский_язык'!$A$1:$Q$1</definedName>
    <definedName name="_xlnm._FilterDatabase" localSheetId="21" hidden="1">'Технология'!$A$1:$Q$1</definedName>
    <definedName name="_xlnm._FilterDatabase" localSheetId="22" hidden="1">'Физика'!$A$1:$Q$1</definedName>
    <definedName name="_xlnm._FilterDatabase" localSheetId="23" hidden="1">'Физическая_культура'!$A$1:$Q$1</definedName>
    <definedName name="_xlnm._FilterDatabase" localSheetId="24" hidden="1">'Французский_язык'!$A$1:$Q$1</definedName>
    <definedName name="_xlnm._FilterDatabase" localSheetId="25" hidden="1">'Химия'!$A$1:$Q$1</definedName>
    <definedName name="_xlnm._FilterDatabase" localSheetId="26" hidden="1">'Экология'!$A$1:$Q$1</definedName>
    <definedName name="_xlnm._FilterDatabase" localSheetId="27" hidden="1">'Экономика'!$A$1:$Q$1</definedName>
    <definedName name="ОВЗ">'Коды'!$F$2:$F$3</definedName>
    <definedName name="ОУ">'Коды'!$I$2:$I$22</definedName>
    <definedName name="Пол">'Коды'!$A$8:$A$9</definedName>
    <definedName name="Район">'Коды'!$A$12:$A$19</definedName>
    <definedName name="Специализированные_классы">'Коды'!$C$2:$C$16</definedName>
    <definedName name="Статус">'Коды'!$A$3:$A$5</definedName>
  </definedNames>
  <calcPr fullCalcOnLoad="1"/>
</workbook>
</file>

<file path=xl/comments10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2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2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<sst xmlns="http://schemas.openxmlformats.org/spreadsheetml/2006/main" count="4229" uniqueCount="748">
  <si>
    <t xml:space="preserve">Фамилия </t>
  </si>
  <si>
    <t>Имя</t>
  </si>
  <si>
    <t>Отчество</t>
  </si>
  <si>
    <t>Класс</t>
  </si>
  <si>
    <t>Кол-во баллов</t>
  </si>
  <si>
    <t>Максимальное количество баллов</t>
  </si>
  <si>
    <t>Рейтинг, %</t>
  </si>
  <si>
    <t>Статус</t>
  </si>
  <si>
    <t>№ п/п</t>
  </si>
  <si>
    <t>Русский язык</t>
  </si>
  <si>
    <t>Математика</t>
  </si>
  <si>
    <t>Физика</t>
  </si>
  <si>
    <t>Биология</t>
  </si>
  <si>
    <t>Английский язык</t>
  </si>
  <si>
    <t>Французский язык</t>
  </si>
  <si>
    <t>Немецкий язык</t>
  </si>
  <si>
    <t>Технология</t>
  </si>
  <si>
    <t>Экология</t>
  </si>
  <si>
    <t>Право</t>
  </si>
  <si>
    <t>Астрономия</t>
  </si>
  <si>
    <t>Физическая культура</t>
  </si>
  <si>
    <t>Химия</t>
  </si>
  <si>
    <t>Литература</t>
  </si>
  <si>
    <t>Экономика</t>
  </si>
  <si>
    <t>География</t>
  </si>
  <si>
    <t>История</t>
  </si>
  <si>
    <t>Специализированный класс (региональный проект)</t>
  </si>
  <si>
    <t>Итоговая таблица по результатам
I этапа Всероссийской олимпиады школьников</t>
  </si>
  <si>
    <t>(Официальное сокращенное наименование образовательного учреждения)</t>
  </si>
  <si>
    <t>Общие данные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</si>
  <si>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</si>
  <si>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</si>
  <si>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</si>
  <si>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</si>
  <si>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</si>
  <si>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</si>
  <si>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</si>
  <si>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 учащихся</t>
  </si>
  <si>
    <t>№п/п</t>
  </si>
  <si>
    <t>Наименование предметов</t>
  </si>
  <si>
    <t>Кол-во участ. - обр. учр.</t>
  </si>
  <si>
    <t>Кол-во участ. - учащиеся</t>
  </si>
  <si>
    <t>Призеры</t>
  </si>
  <si>
    <t>Победители</t>
  </si>
  <si>
    <t>Информатика и ИКТ</t>
  </si>
  <si>
    <t>Обществознание</t>
  </si>
  <si>
    <t>Искусство (МХК)</t>
  </si>
  <si>
    <t>Итого:</t>
  </si>
  <si>
    <t>Ответственный за проведение школьного этапа Всероссийской олимпиады</t>
  </si>
  <si>
    <t>Победитель</t>
  </si>
  <si>
    <t>Призер</t>
  </si>
  <si>
    <t>Процент победителей и призеров</t>
  </si>
  <si>
    <t>Пол</t>
  </si>
  <si>
    <t>Район</t>
  </si>
  <si>
    <t>Предмет</t>
  </si>
  <si>
    <t>Искусство</t>
  </si>
  <si>
    <t>Информатика</t>
  </si>
  <si>
    <t>ОБЖ</t>
  </si>
  <si>
    <t>Участник</t>
  </si>
  <si>
    <t xml:space="preserve"> </t>
  </si>
  <si>
    <t>Кол-во участников</t>
  </si>
  <si>
    <t>Всего</t>
  </si>
  <si>
    <t>Английский_язык</t>
  </si>
  <si>
    <r>
      <t>Русский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</si>
  <si>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Физическая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культура</t>
    </r>
  </si>
  <si>
    <r>
      <t>Немецкий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</si>
  <si>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Французский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</si>
  <si>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t>Средний % выполнения заданий</t>
  </si>
  <si>
    <t>Максимальный % выполнения заданий</t>
  </si>
  <si>
    <t>Минимальный % выполнения заданий</t>
  </si>
  <si>
    <t>5 кл</t>
  </si>
  <si>
    <t>7 кл</t>
  </si>
  <si>
    <t>8 кл</t>
  </si>
  <si>
    <t>9 кл</t>
  </si>
  <si>
    <t>10 кл</t>
  </si>
  <si>
    <t>11 кл</t>
  </si>
  <si>
    <t>Дзержинский</t>
  </si>
  <si>
    <t>Калининский</t>
  </si>
  <si>
    <t>Кировский</t>
  </si>
  <si>
    <t>Ленинский</t>
  </si>
  <si>
    <t>Первомайский</t>
  </si>
  <si>
    <t>Октябрьский</t>
  </si>
  <si>
    <t>Советский</t>
  </si>
  <si>
    <t>Центральный</t>
  </si>
  <si>
    <t>Пол (м/ж)</t>
  </si>
  <si>
    <t>Итальянский язык</t>
  </si>
  <si>
    <t>Китайский язык</t>
  </si>
  <si>
    <t>Итальянский_язык</t>
  </si>
  <si>
    <t>Китайский_язык</t>
  </si>
  <si>
    <r>
      <t>Китайский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</si>
  <si>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Итальянский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</si>
  <si>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t>Всего учеников 4-11 кл.</t>
  </si>
  <si>
    <t>4 класс</t>
  </si>
  <si>
    <t>4 кл</t>
  </si>
  <si>
    <t>6 кл</t>
  </si>
  <si>
    <t>IT-направление</t>
  </si>
  <si>
    <t>Специализированные_классы</t>
  </si>
  <si>
    <r>
      <t>Официальное</t>
    </r>
    <r>
      <rPr>
        <b/>
        <sz val="10"/>
        <rFont val="Times New Roman"/>
        <family val="1"/>
      </rPr>
      <t xml:space="preserve"> сокращенное название образовательного учреждения</t>
    </r>
  </si>
  <si>
    <t>М</t>
  </si>
  <si>
    <t>Ж</t>
  </si>
  <si>
    <t>Класс обучения</t>
  </si>
  <si>
    <t>Класс выполняемых заданий</t>
  </si>
  <si>
    <t>Количество обучающихся в спецклассах</t>
  </si>
  <si>
    <t>Всего обучается в спецклассах</t>
  </si>
  <si>
    <t>Район/округ</t>
  </si>
  <si>
    <t>Класс выпоняемых заданий</t>
  </si>
  <si>
    <r>
      <t xml:space="preserve">Дата рождения </t>
    </r>
    <r>
      <rPr>
        <b/>
        <sz val="11"/>
        <color indexed="10"/>
        <rFont val="Times New Roman"/>
        <family val="1"/>
      </rPr>
      <t>(заполняется только при выполнении повышенного уровня)</t>
    </r>
  </si>
  <si>
    <t>в том 
числе:</t>
  </si>
  <si>
    <t>В т.ч. повышенный уровень</t>
  </si>
  <si>
    <t>Победители, набравшие максимальный балл</t>
  </si>
  <si>
    <t>Коэффициент участия* 4-11 класс</t>
  </si>
  <si>
    <t>Коэффициент успешности** (квота) 
4-11 класс</t>
  </si>
  <si>
    <t>**Коэффициент успешности - соотношение количества победителей и призеров к количеству участников</t>
  </si>
  <si>
    <t>*Коэффициент участия - соотношение количества участников к количеству обучающихся в школе</t>
  </si>
  <si>
    <t>Испанский язык</t>
  </si>
  <si>
    <t>Испанский_язык</t>
  </si>
  <si>
    <t xml:space="preserve">Кол-во </t>
  </si>
  <si>
    <t xml:space="preserve">% </t>
  </si>
  <si>
    <t>Количество и процент учащихся, набравших 0% от максимального балла</t>
  </si>
  <si>
    <t>Количество и процент учащихся, набравших от 0% до 25% от максимального балла*</t>
  </si>
  <si>
    <t>Количество и процент учащихся, набравших от 25% до 50% от максимального балла*</t>
  </si>
  <si>
    <t>Количество и процент учащихся, набравших от 50% до 75% от максимального балла*</t>
  </si>
  <si>
    <t>Количество и процент учащихся, набравших от 75% до 100% от максимального балла*</t>
  </si>
  <si>
    <t>* "от" не включается нижняя граница диапазона, "до" включается верхняя граница диапазона</t>
  </si>
  <si>
    <t>Ограниченные возможности здоровья (имеются/ не имеются)</t>
  </si>
  <si>
    <t>имеются</t>
  </si>
  <si>
    <t>не имеются</t>
  </si>
  <si>
    <t>В т.ч. с ОВЗ</t>
  </si>
  <si>
    <t>В т.ч. призеры с ОВЗ</t>
  </si>
  <si>
    <t>В т.ч. победители с ОВЗ</t>
  </si>
  <si>
    <t>В т.ч. обучающиеся с ОВЗ</t>
  </si>
  <si>
    <t>математика</t>
  </si>
  <si>
    <t>физика</t>
  </si>
  <si>
    <t>химия</t>
  </si>
  <si>
    <t>Инженерно-технологический</t>
  </si>
  <si>
    <t>Инженерно-исследовательский</t>
  </si>
  <si>
    <t>Проектный</t>
  </si>
  <si>
    <t>Инженерный</t>
  </si>
  <si>
    <t>биология</t>
  </si>
  <si>
    <t>биотехнологический</t>
  </si>
  <si>
    <t>ОВЗ</t>
  </si>
  <si>
    <t xml:space="preserve">(инженерно-естественнонаучный) мультимодульный </t>
  </si>
  <si>
    <t xml:space="preserve">(агро-медико-технологический) мультимодульный </t>
  </si>
  <si>
    <t xml:space="preserve">(инженерно-био-технологический) мультимодульный </t>
  </si>
  <si>
    <t xml:space="preserve">(медико-технологический) мультимодульный  </t>
  </si>
  <si>
    <t xml:space="preserve">(инженерно-техгологический и IT) мультимодульный </t>
  </si>
  <si>
    <t>Код</t>
  </si>
  <si>
    <t>ОУ</t>
  </si>
  <si>
    <t>МАОУ «Гимназия № 15»</t>
  </si>
  <si>
    <t>МБОУ АКЛ имени Ю.В. Кондратюка</t>
  </si>
  <si>
    <t>МБОУ В(С)Ш № 15</t>
  </si>
  <si>
    <t>МБОУ Лицей № 113</t>
  </si>
  <si>
    <t>МБОУ СОШ № 111</t>
  </si>
  <si>
    <t>МБОУ СОШ № 153</t>
  </si>
  <si>
    <t>МБОУ СОШ № 169</t>
  </si>
  <si>
    <t>МБОУ СОШ № 177</t>
  </si>
  <si>
    <t>МБОУ СОШ № 178</t>
  </si>
  <si>
    <t>МБОУ СОШ № 18</t>
  </si>
  <si>
    <t>МБОУ СОШ № 197</t>
  </si>
  <si>
    <t>МБОУ СОШ № 36</t>
  </si>
  <si>
    <t>МБОУ СОШ №57</t>
  </si>
  <si>
    <t>МБОУ СОШ № 59</t>
  </si>
  <si>
    <t>МБОУ СОШ № 7</t>
  </si>
  <si>
    <t>МБОУ СОШ № 71</t>
  </si>
  <si>
    <t>МБОУ СОШ № 82</t>
  </si>
  <si>
    <t>МБОУ СОШ № 87</t>
  </si>
  <si>
    <t>МБОУ СОШ № 96 с углубленным изучением английского языка</t>
  </si>
  <si>
    <t>МКОУ Прогимназия «Зимородок»</t>
  </si>
  <si>
    <t>ЧОУ «ОР АВНЕР»</t>
  </si>
  <si>
    <t>ГАОУ НСО «Школа-интернат»</t>
  </si>
  <si>
    <t>МАОУ «Гимназия № 12»</t>
  </si>
  <si>
    <t>МАОУ СОШ № 211 им. Л.И. Сидоренко</t>
  </si>
  <si>
    <t>МБОУ ВСШ № 27</t>
  </si>
  <si>
    <t>МБОУ Лицей № 126</t>
  </si>
  <si>
    <t>МБОУ Лицей № 28</t>
  </si>
  <si>
    <t>МБОУ лицей № 81</t>
  </si>
  <si>
    <t>МБОУ СОШ № 103</t>
  </si>
  <si>
    <t>МБОУ СОШ № 105</t>
  </si>
  <si>
    <t>МБОУ СОШ № 122</t>
  </si>
  <si>
    <t>МБОУ СОШ № 143</t>
  </si>
  <si>
    <t>МБОУ СОШ № 151</t>
  </si>
  <si>
    <t>МБОУ СОШ № 158</t>
  </si>
  <si>
    <t>МБОУ СОШ № 173</t>
  </si>
  <si>
    <t>МБОУ СОШ № 184</t>
  </si>
  <si>
    <t>МБОУ СОШ № 203 ХЭЦ</t>
  </si>
  <si>
    <t>МБОУ СОШ № 207</t>
  </si>
  <si>
    <t>МБОУ СОШ № 23</t>
  </si>
  <si>
    <t>МБОУ СОШ № 26</t>
  </si>
  <si>
    <t>МБОУ СОШ № 34</t>
  </si>
  <si>
    <t>МБОУ СОШ № 46</t>
  </si>
  <si>
    <t>МБОУ СОШ № 78</t>
  </si>
  <si>
    <t>МБОУ СОШ № 8</t>
  </si>
  <si>
    <t>МБОУ СОШ № 83</t>
  </si>
  <si>
    <t>МКОУ В(С)Ш № 7</t>
  </si>
  <si>
    <t xml:space="preserve">МКОУ С(К)Ш № 31 </t>
  </si>
  <si>
    <t>ОАНО СОШ «Веритас»</t>
  </si>
  <si>
    <t>ЧОУ «Православная гимназия Кирилла и Мефодия»</t>
  </si>
  <si>
    <t>МАОУ «Гимназия № 7 «Сибирская»</t>
  </si>
  <si>
    <t>МАОУ «Лицей № 176»</t>
  </si>
  <si>
    <t>МБОУ В(С)Ш № 24</t>
  </si>
  <si>
    <t>МБОУ ЛИТ</t>
  </si>
  <si>
    <t>МБОУ СОШ № 108</t>
  </si>
  <si>
    <t>МБОУ СОШ № 109</t>
  </si>
  <si>
    <t>МБОУ СОШ № 128</t>
  </si>
  <si>
    <t>МБОУ СОШ № 134</t>
  </si>
  <si>
    <t>МБОУ СОШ № 135</t>
  </si>
  <si>
    <t>МБОУ СОШ № 170</t>
  </si>
  <si>
    <t>МБОУ СОШ № 182 с углубленным изучением литературы и математики</t>
  </si>
  <si>
    <t>МБОУ СОШ № 183</t>
  </si>
  <si>
    <t>МБОУ СОШ № 192</t>
  </si>
  <si>
    <t>МБОУ СОШ № 196</t>
  </si>
  <si>
    <t>МБОУ СОШ № 198</t>
  </si>
  <si>
    <t>МБОУ СОШ № 41</t>
  </si>
  <si>
    <t>МБОУ СОШ № 47</t>
  </si>
  <si>
    <t>МБОУ СОШ № 49</t>
  </si>
  <si>
    <t>МБОУ СОШ № 63</t>
  </si>
  <si>
    <t>МБОУ СОШ № 64</t>
  </si>
  <si>
    <t>МБОУ СОШ № 65</t>
  </si>
  <si>
    <t>МБОУ СОШ № 91</t>
  </si>
  <si>
    <t>МКОУ Прогимназия № 1</t>
  </si>
  <si>
    <t>МКОУ С(К) ШИ № 152</t>
  </si>
  <si>
    <t>МАОУ Вторая гимназия</t>
  </si>
  <si>
    <t>МАОУ ИЭЛ</t>
  </si>
  <si>
    <t>МАОУ СОШ № 212</t>
  </si>
  <si>
    <t>МАОУ СОШ № 215</t>
  </si>
  <si>
    <t>МБОУ «Гимназия № 16 «Французская»</t>
  </si>
  <si>
    <t>МБОУ «Инженерный лицей НГТУ»</t>
  </si>
  <si>
    <t>МБОУ «Лицей № 136»</t>
  </si>
  <si>
    <t>МБОУ «Новосибирская классическая гимназия № 17»</t>
  </si>
  <si>
    <t>МБОУ «СОШ № 175»</t>
  </si>
  <si>
    <t>МБОУ «Технический лицей при СГУГиТ»</t>
  </si>
  <si>
    <t>МБОУ Гимназия № 14 «Университетская»</t>
  </si>
  <si>
    <t>МБОУ ООШ № 89</t>
  </si>
  <si>
    <t>МБОУ СОШ № 129</t>
  </si>
  <si>
    <t>МБОУ СОШ № 138</t>
  </si>
  <si>
    <t>МБОУ СОШ № 15</t>
  </si>
  <si>
    <t>МБОУ СОШ № 160</t>
  </si>
  <si>
    <t>МБОУ СОШ № 187</t>
  </si>
  <si>
    <t>МБОУ СОШ № 188</t>
  </si>
  <si>
    <t>МБОУ СОШ № 191</t>
  </si>
  <si>
    <t>МБОУ СОШ № 20</t>
  </si>
  <si>
    <t>МБОУ СОШ № 210</t>
  </si>
  <si>
    <t>МБОУ СОШ № 27</t>
  </si>
  <si>
    <t>МБОУ СОШ № 40</t>
  </si>
  <si>
    <t>МБОУ СОШ № 45</t>
  </si>
  <si>
    <t>МБОУ СОШ № 48</t>
  </si>
  <si>
    <t>МБОУ СОШ № 50</t>
  </si>
  <si>
    <t>МБОУ СОШ № 56</t>
  </si>
  <si>
    <t>МБОУ СОШ № 67</t>
  </si>
  <si>
    <t>МБОУ СОШ № 69</t>
  </si>
  <si>
    <t>МБОУ СОШ № 72</t>
  </si>
  <si>
    <t>МБОУ СОШ № 73</t>
  </si>
  <si>
    <t>МБОУ СОШ №86</t>
  </si>
  <si>
    <t>МБОУ СОШ № 90 с углубленным изучением предметов ХЭЦ</t>
  </si>
  <si>
    <t>МБОУ СОШ № 92</t>
  </si>
  <si>
    <t>МБОУ СОШ № 94</t>
  </si>
  <si>
    <t>МБОУ ШИ № 133</t>
  </si>
  <si>
    <t>МКОУ С(К)ШИ № 39</t>
  </si>
  <si>
    <t>МКОУ СОШ № 66</t>
  </si>
  <si>
    <t>ЧОУ «Православная гимназия во имя святого князя Владимира»</t>
  </si>
  <si>
    <t>ЧОУ школа «Эврика»</t>
  </si>
  <si>
    <t>МБОУ В(С)Ш № 10</t>
  </si>
  <si>
    <t>МАОУ Гимназия № 11 «Гармония»</t>
  </si>
  <si>
    <t>МАОУ СОШ № 216</t>
  </si>
  <si>
    <t>МБОУ Лицей № 185</t>
  </si>
  <si>
    <t>МБОУ НГПЛ</t>
  </si>
  <si>
    <t>МБОУ СОШ № 11</t>
  </si>
  <si>
    <t>МБОУ СОШ № 155</t>
  </si>
  <si>
    <t>МБОУ СОШ № 16</t>
  </si>
  <si>
    <t>МБОУ СОШ № 167</t>
  </si>
  <si>
    <t>МБОУ СОШ № 186</t>
  </si>
  <si>
    <t>МБОУ СОШ № 189</t>
  </si>
  <si>
    <t>МБОУ СОШ № 19</t>
  </si>
  <si>
    <t>МБОУ СОШ № 194</t>
  </si>
  <si>
    <t>МБОУ СОШ № 195</t>
  </si>
  <si>
    <t>МБОУ СОШ № 199</t>
  </si>
  <si>
    <t>МБОУ СОШ № 2</t>
  </si>
  <si>
    <t>МБОУ СОШ № 202</t>
  </si>
  <si>
    <t>МБОУ СОШ № 206</t>
  </si>
  <si>
    <t>МБОУ СОШ № 32</t>
  </si>
  <si>
    <t>МБОУ СОШ № 52</t>
  </si>
  <si>
    <t>МБОУ СОШ № 75</t>
  </si>
  <si>
    <t>МБОУ СОШ № 76</t>
  </si>
  <si>
    <t>МБОУ СОШ № 97</t>
  </si>
  <si>
    <t>МКОУ «В(С)Ш № 8»</t>
  </si>
  <si>
    <t>МКОУ ООШ № 115</t>
  </si>
  <si>
    <t>ОАНО «Образовательный комплекс школа-сад «Наша Школа»; ОАНО ОК "Наша школа"</t>
  </si>
  <si>
    <t>ЧОУ школа «Таланъ»</t>
  </si>
  <si>
    <t>МАОУ СОШ № 213 «Открытие»</t>
  </si>
  <si>
    <t>МАОУ СОШ № 214</t>
  </si>
  <si>
    <t>МБОУ Гимназия № 8</t>
  </si>
  <si>
    <t>МБОУ СОШ № 117</t>
  </si>
  <si>
    <t>МБОУ СОШ № 140</t>
  </si>
  <si>
    <t>МБОУ СОШ № 141 с углубленным изучением математики</t>
  </si>
  <si>
    <t>МБОУ СОШ № 142</t>
  </si>
  <si>
    <t>МБОУ СОШ № 144</t>
  </si>
  <si>
    <t>МБОУ СОШ № 145</t>
  </si>
  <si>
    <t>МБОУ СОШ № 146</t>
  </si>
  <si>
    <t>МБОУ СОШ № 147</t>
  </si>
  <si>
    <t>МБОУ СОШ № 154</t>
  </si>
  <si>
    <t>МБОУ ТЛИ № 128</t>
  </si>
  <si>
    <t>МАОУ ОЦ «Горностай»</t>
  </si>
  <si>
    <t>МБОУ В(С)Ш № 35</t>
  </si>
  <si>
    <t>МБОУ гимназия № 3 в Академгородке</t>
  </si>
  <si>
    <t>МБОУ Гимназия № 5</t>
  </si>
  <si>
    <t>МБОУ Лицей № 130</t>
  </si>
  <si>
    <t>МБОУ СОШ № 102</t>
  </si>
  <si>
    <t>МБОУ СОШ № 112</t>
  </si>
  <si>
    <t>МБОУ СОШ № 119</t>
  </si>
  <si>
    <t>МБОУ СОШ № 121 «Академическая»</t>
  </si>
  <si>
    <t>МБОУ СОШ № 162</t>
  </si>
  <si>
    <t>МБОУ СОШ № 165</t>
  </si>
  <si>
    <t>МБОУ СОШ № 179</t>
  </si>
  <si>
    <t>МБОУ СОШ № 190</t>
  </si>
  <si>
    <t>МБОУ СОШ № 61 им. Н.М. Иванова</t>
  </si>
  <si>
    <t>МБОУ СОШ № 80</t>
  </si>
  <si>
    <t>МКОУ С(К)Ш № 5 «Новые надежды»</t>
  </si>
  <si>
    <t>ЧОУ «Православная Гимназия Игнатия Брянчанинова»</t>
  </si>
  <si>
    <t>ЧОУ «Православная гимназия Сергия Радонежского»</t>
  </si>
  <si>
    <t>ЧОУ «Юнион»</t>
  </si>
  <si>
    <t>МБОУ «Гимназия № 1»</t>
  </si>
  <si>
    <t>ЦАО</t>
  </si>
  <si>
    <t>МБОУ Гимназия № 4</t>
  </si>
  <si>
    <t>МБОУ гимназия № 9</t>
  </si>
  <si>
    <t>МАОУ Гимназия № 10</t>
  </si>
  <si>
    <t>МБОУ «Гимназия № 13 имени Э. А. Быкова»</t>
  </si>
  <si>
    <t>МАОУ «Лицей № 9»</t>
  </si>
  <si>
    <t>МБОУ «Лицей № 12»</t>
  </si>
  <si>
    <t>МБОУ «Лицей № 22 «Надежда Сибири»</t>
  </si>
  <si>
    <t>МБОУ «Лицей № 159»</t>
  </si>
  <si>
    <t>МБОУ «Лицей № 200»</t>
  </si>
  <si>
    <t>МБОУ ЭКЛ</t>
  </si>
  <si>
    <t>МБОУ СОШ № 1</t>
  </si>
  <si>
    <t>МБОУ СОШ № 3</t>
  </si>
  <si>
    <t>МБОУ СОШ № 4 ОЦ</t>
  </si>
  <si>
    <t>МБОУ СОШ № 13</t>
  </si>
  <si>
    <t>МБОУ СОШ № 17</t>
  </si>
  <si>
    <t>МБОУ СОШ № 24</t>
  </si>
  <si>
    <t>МБОУ СОШ № 29</t>
  </si>
  <si>
    <t>МБОУ СОШ № 43</t>
  </si>
  <si>
    <t>МБОУ СОШ № 51</t>
  </si>
  <si>
    <t>МБОУ СОШ № 54</t>
  </si>
  <si>
    <t>МБОУ СОШ № 58</t>
  </si>
  <si>
    <t>МБОУ СОШ № 74</t>
  </si>
  <si>
    <t>МБОУ СОШ № 77</t>
  </si>
  <si>
    <t>МБОУ ООШ № 84</t>
  </si>
  <si>
    <t>МБОУ СОШ № 85 «Журавушка»</t>
  </si>
  <si>
    <t>МБОУ СОШ № 99</t>
  </si>
  <si>
    <t>МБОУ СОШ № 100</t>
  </si>
  <si>
    <t>МБОУ СОШ № 120</t>
  </si>
  <si>
    <t>МБОУ СОШ № 131</t>
  </si>
  <si>
    <t>МБОУ СОШ № 137</t>
  </si>
  <si>
    <t>МБОУ СОШ № 156</t>
  </si>
  <si>
    <t>МБОУ СОШ № 168 с УИП ХЭЦ</t>
  </si>
  <si>
    <t>МБОУ СОШ № 172</t>
  </si>
  <si>
    <t>МБОУ СОШ № 180</t>
  </si>
  <si>
    <t>МАОУ СОШ «Диалог»</t>
  </si>
  <si>
    <t>МБОУ СОШ «Перспектива»</t>
  </si>
  <si>
    <t>ГБОУ НСО «СКК»</t>
  </si>
  <si>
    <t>ЧОУ школа «Аврора»</t>
  </si>
  <si>
    <t>ЧОУ «София»</t>
  </si>
  <si>
    <t>АНО школа «Экселенс-С»</t>
  </si>
  <si>
    <t>МБОУ В(С)Ш № 1</t>
  </si>
  <si>
    <t>МБОУ В(С)Ш № 17</t>
  </si>
  <si>
    <t>МКОУ С(К)НШ № 60</t>
  </si>
  <si>
    <t xml:space="preserve">     </t>
  </si>
  <si>
    <t>Код ОУ(по базе )ЕГЭ</t>
  </si>
  <si>
    <t>(Код ОУ по базе ЕГЭ)</t>
  </si>
  <si>
    <t>Код ОУ (база ЕГЭ)</t>
  </si>
  <si>
    <t xml:space="preserve">Воробьева </t>
  </si>
  <si>
    <t>Виктория</t>
  </si>
  <si>
    <t>Алексеевна</t>
  </si>
  <si>
    <t>Кулышева</t>
  </si>
  <si>
    <t>Вероника</t>
  </si>
  <si>
    <t>Александровна</t>
  </si>
  <si>
    <t>Воробьева</t>
  </si>
  <si>
    <t>Фрыгина</t>
  </si>
  <si>
    <t>Ксения</t>
  </si>
  <si>
    <t>Сергеевна</t>
  </si>
  <si>
    <t>Савельева</t>
  </si>
  <si>
    <t>Николаевна</t>
  </si>
  <si>
    <t>Махмадова</t>
  </si>
  <si>
    <t>Карина</t>
  </si>
  <si>
    <t>Додархуджаевна</t>
  </si>
  <si>
    <t>Логвиненко</t>
  </si>
  <si>
    <t>Светлана</t>
  </si>
  <si>
    <t>Евгеньевна</t>
  </si>
  <si>
    <t xml:space="preserve">Лебедева </t>
  </si>
  <si>
    <t>Алина</t>
  </si>
  <si>
    <t xml:space="preserve">Мультан </t>
  </si>
  <si>
    <t>Анна</t>
  </si>
  <si>
    <t>Денисовна</t>
  </si>
  <si>
    <t>ж</t>
  </si>
  <si>
    <t xml:space="preserve">Козлова </t>
  </si>
  <si>
    <t xml:space="preserve">Мария </t>
  </si>
  <si>
    <t>Максимовна</t>
  </si>
  <si>
    <t>Лебедева</t>
  </si>
  <si>
    <t>Полина</t>
  </si>
  <si>
    <t>Сегеевна</t>
  </si>
  <si>
    <t xml:space="preserve">Кочев </t>
  </si>
  <si>
    <t>Артём</t>
  </si>
  <si>
    <t>Андреевич</t>
  </si>
  <si>
    <t>м</t>
  </si>
  <si>
    <t>Максимовская</t>
  </si>
  <si>
    <t xml:space="preserve">Анастасия </t>
  </si>
  <si>
    <t>Алксандровна</t>
  </si>
  <si>
    <t xml:space="preserve">Пантюхов </t>
  </si>
  <si>
    <t>Викторович</t>
  </si>
  <si>
    <t>Яцко</t>
  </si>
  <si>
    <t xml:space="preserve">Георгий </t>
  </si>
  <si>
    <t>Ширяева</t>
  </si>
  <si>
    <t>Вячеславовна</t>
  </si>
  <si>
    <t>Бабиков</t>
  </si>
  <si>
    <t>Иван</t>
  </si>
  <si>
    <t>Алексеевич</t>
  </si>
  <si>
    <t>Диченков</t>
  </si>
  <si>
    <t>Дмитрий</t>
  </si>
  <si>
    <t>Вячеславович</t>
  </si>
  <si>
    <t>Кочетова</t>
  </si>
  <si>
    <t>Валерия</t>
  </si>
  <si>
    <t>Молчанов</t>
  </si>
  <si>
    <t xml:space="preserve">Артём </t>
  </si>
  <si>
    <t>Юрьевич</t>
  </si>
  <si>
    <t>Карпова</t>
  </si>
  <si>
    <t>Яна</t>
  </si>
  <si>
    <t>Шмаков</t>
  </si>
  <si>
    <t>Ильич</t>
  </si>
  <si>
    <t>Карпухина</t>
  </si>
  <si>
    <t>Юлия</t>
  </si>
  <si>
    <t>Мерецкий</t>
  </si>
  <si>
    <t xml:space="preserve">Даниил </t>
  </si>
  <si>
    <t>Андрейковец</t>
  </si>
  <si>
    <t>Кристина</t>
  </si>
  <si>
    <t>Антоновна</t>
  </si>
  <si>
    <t>Красавцева</t>
  </si>
  <si>
    <t xml:space="preserve">Рачинский </t>
  </si>
  <si>
    <t>Егор</t>
  </si>
  <si>
    <t>Сергеевич</t>
  </si>
  <si>
    <t xml:space="preserve">Загайнова </t>
  </si>
  <si>
    <t>Анжелика</t>
  </si>
  <si>
    <t>Павловна+</t>
  </si>
  <si>
    <t>Силаев</t>
  </si>
  <si>
    <t>Ярослав</t>
  </si>
  <si>
    <t>Константинович</t>
  </si>
  <si>
    <t xml:space="preserve">Новицкий </t>
  </si>
  <si>
    <t>Кирилл</t>
  </si>
  <si>
    <t xml:space="preserve">Воропаев </t>
  </si>
  <si>
    <t xml:space="preserve">Евгений </t>
  </si>
  <si>
    <t>Максимович</t>
  </si>
  <si>
    <t>Скучилин</t>
  </si>
  <si>
    <t>Арсений</t>
  </si>
  <si>
    <t>Кияев</t>
  </si>
  <si>
    <t>Артем</t>
  </si>
  <si>
    <t>Николаевич</t>
  </si>
  <si>
    <t>Донская</t>
  </si>
  <si>
    <t>Диана</t>
  </si>
  <si>
    <t>Ивановна</t>
  </si>
  <si>
    <t>Ефимова</t>
  </si>
  <si>
    <t>Шадрина</t>
  </si>
  <si>
    <t>Елизавета</t>
  </si>
  <si>
    <t>Романовна</t>
  </si>
  <si>
    <t>Исмаилова</t>
  </si>
  <si>
    <t>Аянна</t>
  </si>
  <si>
    <t>Максатбековна</t>
  </si>
  <si>
    <t>Шитц</t>
  </si>
  <si>
    <t>Данила</t>
  </si>
  <si>
    <t>Гаан</t>
  </si>
  <si>
    <t>Александрович</t>
  </si>
  <si>
    <t>Киселева</t>
  </si>
  <si>
    <t>Мария</t>
  </si>
  <si>
    <t>Андреевна</t>
  </si>
  <si>
    <t>Евгеньевич</t>
  </si>
  <si>
    <t>Игорь</t>
  </si>
  <si>
    <t>Суховаров</t>
  </si>
  <si>
    <t>Юрьевна</t>
  </si>
  <si>
    <t>Арина</t>
  </si>
  <si>
    <t>Сороковых</t>
  </si>
  <si>
    <t>Викторовна</t>
  </si>
  <si>
    <t>Васильева</t>
  </si>
  <si>
    <t>Булатникова</t>
  </si>
  <si>
    <t>Владимировна</t>
  </si>
  <si>
    <t>Алёшина</t>
  </si>
  <si>
    <t>Леонидовна</t>
  </si>
  <si>
    <t>Ульяна</t>
  </si>
  <si>
    <t>Романькова</t>
  </si>
  <si>
    <t>Борникова</t>
  </si>
  <si>
    <t>Крутикова</t>
  </si>
  <si>
    <t>Екатерина</t>
  </si>
  <si>
    <t xml:space="preserve">Литвинов </t>
  </si>
  <si>
    <t>Константин</t>
  </si>
  <si>
    <t>Хохуля</t>
  </si>
  <si>
    <t>Регина</t>
  </si>
  <si>
    <t>Нагайцева</t>
  </si>
  <si>
    <t>Тыртышных</t>
  </si>
  <si>
    <t>Копржив</t>
  </si>
  <si>
    <t>Никита</t>
  </si>
  <si>
    <t>Валерьевич</t>
  </si>
  <si>
    <t>Сокольцова</t>
  </si>
  <si>
    <t>Илонна</t>
  </si>
  <si>
    <t>Георгиевна</t>
  </si>
  <si>
    <t>Абылова</t>
  </si>
  <si>
    <t>Мээримай</t>
  </si>
  <si>
    <t>Уланбековна</t>
  </si>
  <si>
    <t>Фетисова</t>
  </si>
  <si>
    <t>Эвелина</t>
  </si>
  <si>
    <t>Хорошева</t>
  </si>
  <si>
    <t>Швецов</t>
  </si>
  <si>
    <t>Максим</t>
  </si>
  <si>
    <t>Якушев</t>
  </si>
  <si>
    <t>Антон</t>
  </si>
  <si>
    <t>Игоревич</t>
  </si>
  <si>
    <t>Соловьева Н.В.</t>
  </si>
  <si>
    <t>Самородов</t>
  </si>
  <si>
    <t>Рахмонов</t>
  </si>
  <si>
    <t>Турбин</t>
  </si>
  <si>
    <t>Калинин</t>
  </si>
  <si>
    <t>Владимир</t>
  </si>
  <si>
    <t>Вадим</t>
  </si>
  <si>
    <t xml:space="preserve">Зайцев </t>
  </si>
  <si>
    <t>Мишенин</t>
  </si>
  <si>
    <t>Владислав</t>
  </si>
  <si>
    <t>Яковлева</t>
  </si>
  <si>
    <t>Лидия</t>
  </si>
  <si>
    <t>Кениг</t>
  </si>
  <si>
    <t>Борис</t>
  </si>
  <si>
    <t>Гребенкин</t>
  </si>
  <si>
    <t>Щеглов</t>
  </si>
  <si>
    <t>Сергей</t>
  </si>
  <si>
    <t>Филимонов</t>
  </si>
  <si>
    <t xml:space="preserve">Нефедьева </t>
  </si>
  <si>
    <t>Завьялов</t>
  </si>
  <si>
    <t>Олег</t>
  </si>
  <si>
    <t>Журабаев</t>
  </si>
  <si>
    <t>Фаёзбек</t>
  </si>
  <si>
    <t>Касимович</t>
  </si>
  <si>
    <t>Владимирович</t>
  </si>
  <si>
    <t>Михайлович</t>
  </si>
  <si>
    <t>Косулин</t>
  </si>
  <si>
    <t>Михайловна</t>
  </si>
  <si>
    <t>Хомутова</t>
  </si>
  <si>
    <t>Тиунов</t>
  </si>
  <si>
    <t>Александр</t>
  </si>
  <si>
    <t xml:space="preserve">Никулин </t>
  </si>
  <si>
    <t>Семен</t>
  </si>
  <si>
    <t>Сенин</t>
  </si>
  <si>
    <t>Антонович</t>
  </si>
  <si>
    <t>Станислав</t>
  </si>
  <si>
    <t>Бастрыгин</t>
  </si>
  <si>
    <t>Наталья</t>
  </si>
  <si>
    <t>Клиянова</t>
  </si>
  <si>
    <t>Эделина</t>
  </si>
  <si>
    <t xml:space="preserve">Леонова </t>
  </si>
  <si>
    <t>Даниил</t>
  </si>
  <si>
    <t>Горбачев</t>
  </si>
  <si>
    <t xml:space="preserve">Фрыгина </t>
  </si>
  <si>
    <t>Фогель</t>
  </si>
  <si>
    <t>Денисович</t>
  </si>
  <si>
    <t>Барсук</t>
  </si>
  <si>
    <t>Жахалов</t>
  </si>
  <si>
    <t>Шарапова</t>
  </si>
  <si>
    <t>Софья</t>
  </si>
  <si>
    <t>Митрохина</t>
  </si>
  <si>
    <t>Александра</t>
  </si>
  <si>
    <t>Данилов</t>
  </si>
  <si>
    <t>Павел</t>
  </si>
  <si>
    <t>Сергеев</t>
  </si>
  <si>
    <t>Литвинов</t>
  </si>
  <si>
    <t>Кузнецова</t>
  </si>
  <si>
    <t>Анастасия</t>
  </si>
  <si>
    <t xml:space="preserve">Хохуля </t>
  </si>
  <si>
    <t>Бабаян</t>
  </si>
  <si>
    <t>Арменовна</t>
  </si>
  <si>
    <t>Куликова</t>
  </si>
  <si>
    <t>Вадимовна</t>
  </si>
  <si>
    <t>Корендович</t>
  </si>
  <si>
    <t>Рысбаев</t>
  </si>
  <si>
    <t xml:space="preserve">Исламбек </t>
  </si>
  <si>
    <t>Максатбекович</t>
  </si>
  <si>
    <t>Железова</t>
  </si>
  <si>
    <t>Дмитриевна</t>
  </si>
  <si>
    <t>Алексеева</t>
  </si>
  <si>
    <t>Дарья</t>
  </si>
  <si>
    <t>Павловна</t>
  </si>
  <si>
    <t>Цирина</t>
  </si>
  <si>
    <t>Петрова</t>
  </si>
  <si>
    <t>Власова</t>
  </si>
  <si>
    <t>Кривошлыков</t>
  </si>
  <si>
    <t>Ничипоренко</t>
  </si>
  <si>
    <t>Шашкова</t>
  </si>
  <si>
    <t>Морозова</t>
  </si>
  <si>
    <t>Маргарита</t>
  </si>
  <si>
    <t>Иванова</t>
  </si>
  <si>
    <t>Марина</t>
  </si>
  <si>
    <t>Валюшков</t>
  </si>
  <si>
    <t>Старникова</t>
  </si>
  <si>
    <t>Фершалов</t>
  </si>
  <si>
    <t>Кривошлыкова</t>
  </si>
  <si>
    <t>Виолетта</t>
  </si>
  <si>
    <t>Гунбатова</t>
  </si>
  <si>
    <t>Динара</t>
  </si>
  <si>
    <t>Самеддин кызы</t>
  </si>
  <si>
    <t>Печенцова</t>
  </si>
  <si>
    <t>Журба</t>
  </si>
  <si>
    <t xml:space="preserve">Куликова </t>
  </si>
  <si>
    <t xml:space="preserve">Нефедова </t>
  </si>
  <si>
    <t xml:space="preserve">Мелехина </t>
  </si>
  <si>
    <t>Евгеньенва</t>
  </si>
  <si>
    <t>Деревенских</t>
  </si>
  <si>
    <t>Таловская</t>
  </si>
  <si>
    <t>Кошелев</t>
  </si>
  <si>
    <t>Косарева</t>
  </si>
  <si>
    <t>Вера</t>
  </si>
  <si>
    <t xml:space="preserve">Дарья </t>
  </si>
  <si>
    <t>Ушакова</t>
  </si>
  <si>
    <t>Алекасандровна</t>
  </si>
  <si>
    <t>Однорог</t>
  </si>
  <si>
    <t>Злата</t>
  </si>
  <si>
    <t>Целева</t>
  </si>
  <si>
    <t>Елизаров</t>
  </si>
  <si>
    <t>Леонова</t>
  </si>
  <si>
    <t>Додонова</t>
  </si>
  <si>
    <t>Вертяшкин</t>
  </si>
  <si>
    <t>Степанова</t>
  </si>
  <si>
    <t>Ольга</t>
  </si>
  <si>
    <t>Устинова</t>
  </si>
  <si>
    <t>Титаренко</t>
  </si>
  <si>
    <t>Корнеева</t>
  </si>
  <si>
    <t>Лабузова</t>
  </si>
  <si>
    <t>Гамидова</t>
  </si>
  <si>
    <t>Ганира</t>
  </si>
  <si>
    <t>Шамсаддиновна</t>
  </si>
  <si>
    <t>Михайлова</t>
  </si>
  <si>
    <t>Зайцев</t>
  </si>
  <si>
    <t>Павлович</t>
  </si>
  <si>
    <t>Деменская</t>
  </si>
  <si>
    <t>Юдина</t>
  </si>
  <si>
    <t>Бузанова</t>
  </si>
  <si>
    <t>Евгения</t>
  </si>
  <si>
    <t>Валерьевна</t>
  </si>
  <si>
    <t>Фешалов</t>
  </si>
  <si>
    <t>Дружинина</t>
  </si>
  <si>
    <t>Федоров</t>
  </si>
  <si>
    <t>Андрей</t>
  </si>
  <si>
    <t>Станиславовна</t>
  </si>
  <si>
    <t>Роман</t>
  </si>
  <si>
    <t>Амриддин</t>
  </si>
  <si>
    <t>Джаломединович</t>
  </si>
  <si>
    <t>Малькова</t>
  </si>
  <si>
    <t>Алена</t>
  </si>
  <si>
    <t>Игоревна</t>
  </si>
  <si>
    <t>Тыдыкова</t>
  </si>
  <si>
    <t>Пяткина</t>
  </si>
  <si>
    <t>Полушвецова</t>
  </si>
  <si>
    <t>Милена</t>
  </si>
  <si>
    <t>Константиновна</t>
  </si>
  <si>
    <t>Шаева</t>
  </si>
  <si>
    <t>Елизвета</t>
  </si>
  <si>
    <t xml:space="preserve">Баженова </t>
  </si>
  <si>
    <t>Подковырова</t>
  </si>
  <si>
    <t>Понькин</t>
  </si>
  <si>
    <t>Степан</t>
  </si>
  <si>
    <t xml:space="preserve">Кулышева </t>
  </si>
  <si>
    <t>Киричек</t>
  </si>
  <si>
    <t>Ангелина</t>
  </si>
  <si>
    <t>Дьяченко</t>
  </si>
  <si>
    <t>Чеченкина</t>
  </si>
  <si>
    <t>Мелехина</t>
  </si>
  <si>
    <t>Петунин</t>
  </si>
  <si>
    <t>Георгиевич</t>
  </si>
  <si>
    <t>Иоселиани</t>
  </si>
  <si>
    <t>Тариеловна</t>
  </si>
  <si>
    <t>Креймер</t>
  </si>
  <si>
    <t>Никулин</t>
  </si>
  <si>
    <t>Рысбаева</t>
  </si>
  <si>
    <t>Бегимай</t>
  </si>
  <si>
    <t xml:space="preserve">Алена </t>
  </si>
  <si>
    <t>Сафронова</t>
  </si>
  <si>
    <t>МБОУ СОШ №153</t>
  </si>
  <si>
    <t xml:space="preserve">Рысбаев </t>
  </si>
  <si>
    <t>Исламбек</t>
  </si>
  <si>
    <t>Макстабекович</t>
  </si>
  <si>
    <t>Ишкова</t>
  </si>
  <si>
    <t xml:space="preserve">Косулин </t>
  </si>
  <si>
    <t xml:space="preserve">Дмитрий </t>
  </si>
  <si>
    <t>Карасева</t>
  </si>
  <si>
    <t xml:space="preserve">Надежда </t>
  </si>
  <si>
    <t xml:space="preserve">Александровна </t>
  </si>
  <si>
    <t xml:space="preserve">Машина </t>
  </si>
  <si>
    <t>Витальевна</t>
  </si>
  <si>
    <t>Болтикова</t>
  </si>
  <si>
    <t>Ермолаев</t>
  </si>
  <si>
    <t>Колупаева</t>
  </si>
  <si>
    <t>Тоноян</t>
  </si>
  <si>
    <t>Анаит</t>
  </si>
  <si>
    <t>Самвеловна</t>
  </si>
  <si>
    <t>Гоарик</t>
  </si>
  <si>
    <t>Задруцкая</t>
  </si>
  <si>
    <t>Алесеевна</t>
  </si>
  <si>
    <t>Бибинур</t>
  </si>
  <si>
    <t>Мартынов</t>
  </si>
  <si>
    <t>Иванович</t>
  </si>
  <si>
    <t>Мосина</t>
  </si>
  <si>
    <t>Савицкая</t>
  </si>
  <si>
    <t>Царакаева</t>
  </si>
  <si>
    <t>Головко</t>
  </si>
  <si>
    <t>Андреева</t>
  </si>
  <si>
    <t>Кира</t>
  </si>
  <si>
    <t>Быргазов</t>
  </si>
  <si>
    <t>Захар</t>
  </si>
  <si>
    <t>Генов</t>
  </si>
  <si>
    <t>Донец</t>
  </si>
  <si>
    <t>Шейко</t>
  </si>
  <si>
    <t>Петр</t>
  </si>
  <si>
    <t xml:space="preserve">Задруцкая </t>
  </si>
  <si>
    <t>Сысорова</t>
  </si>
  <si>
    <t>Анатольевна</t>
  </si>
  <si>
    <t xml:space="preserve">Коршунова </t>
  </si>
  <si>
    <t>Букевич</t>
  </si>
  <si>
    <t>Рудзейт</t>
  </si>
  <si>
    <t>Кочев</t>
  </si>
  <si>
    <t>Мультан</t>
  </si>
  <si>
    <t xml:space="preserve">Шмаков </t>
  </si>
  <si>
    <t>Артёмович</t>
  </si>
  <si>
    <t>Печёнкин</t>
  </si>
  <si>
    <t>Рамзайцева</t>
  </si>
  <si>
    <t>Загайнова</t>
  </si>
  <si>
    <t>Тимофеевич</t>
  </si>
  <si>
    <t xml:space="preserve">Роман </t>
  </si>
  <si>
    <t xml:space="preserve">Миненко </t>
  </si>
  <si>
    <t>Глеб</t>
  </si>
  <si>
    <t>Федякшин</t>
  </si>
  <si>
    <t>Максимовмч</t>
  </si>
  <si>
    <t>Козлов</t>
  </si>
  <si>
    <t>Пантюхов</t>
  </si>
  <si>
    <t>Евгений</t>
  </si>
  <si>
    <t>Воропаев</t>
  </si>
  <si>
    <t>Козлова</t>
  </si>
  <si>
    <t>Кобер</t>
  </si>
  <si>
    <t>Юрий</t>
  </si>
  <si>
    <t>Рагозин</t>
  </si>
  <si>
    <t>Дец</t>
  </si>
  <si>
    <t>Артур</t>
  </si>
  <si>
    <t>Александроовна</t>
  </si>
  <si>
    <t>Смирнова</t>
  </si>
  <si>
    <t>Ирина</t>
  </si>
  <si>
    <t>Дмитриев</t>
  </si>
  <si>
    <t>Дмитриевич</t>
  </si>
  <si>
    <t>Изириа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</si>
</sst>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General;General"/>
    <numFmt numFmtId="170" formatCode="General;General;"/>
  </numFmts>
  <fonts count="63">
    <font>
      <sz val="10"/>
      <name val="Arial Cyr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Arial Cyr"/>
      <family val="0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Arial Cyr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Arial"/>
      <family val="2"/>
    </font>
    <font>
      <b/>
      <sz val="18"/>
      <color indexed="10"/>
      <name val="Arial Cyr"/>
      <family val="0"/>
    </font>
    <font>
      <sz val="10"/>
      <color indexed="10"/>
      <name val="Arial Cyr"/>
      <family val="2"/>
    </font>
    <font>
      <sz val="10"/>
      <color indexed="9"/>
      <name val="Times New Roman"/>
      <family val="1"/>
    </font>
    <font>
      <sz val="11"/>
      <color indexed="10"/>
      <name val="Arial Cyr"/>
      <family val="0"/>
    </font>
    <font>
      <sz val="11"/>
      <color rgb="FF000000"/>
      <name val="Calibri"/>
      <family val="2"/>
    </font>
    <font>
      <sz val="8"/>
      <color theme="1"/>
      <name val="Arial Cyr"/>
      <family val="2"/>
    </font>
    <font>
      <sz val="11"/>
      <color theme="1"/>
      <name val="Calibri"/>
      <family val="2"/>
    </font>
    <font>
      <sz val="8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FF0000"/>
      <name val="Arial Cyr"/>
      <family val="0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sz val="18"/>
      <color rgb="FFFF0000"/>
      <name val="Arial Cyr"/>
      <family val="0"/>
    </font>
    <font>
      <sz val="10"/>
      <color rgb="FFFF0000"/>
      <name val="Arial Cyr"/>
      <family val="2"/>
    </font>
    <font>
      <sz val="10"/>
      <color theme="0"/>
      <name val="Times New Roman"/>
      <family val="1"/>
    </font>
    <font>
      <sz val="10"/>
      <color rgb="FF000000"/>
      <name val="Calibri"/>
      <family val="2"/>
    </font>
    <font>
      <sz val="11"/>
      <color rgb="FFFF0000"/>
      <name val="Arial Cyr"/>
      <family val="0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6">
    <xf numFmtId="0" fontId="0" fillId="0" borderId="0" xfId="0" applyAlignment="1">
      <alignment/>
    </xf>
    <xf numFmtId="1" fontId="0" fillId="20" borderId="0" xfId="0" applyNumberFormat="1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/>
      <protection locked="0"/>
    </xf>
    <xf numFmtId="10" fontId="27" fillId="0" borderId="10" xfId="0" applyNumberFormat="1" applyFont="1" applyBorder="1" applyAlignment="1" applyProtection="1">
      <alignment/>
      <protection locked="0"/>
    </xf>
    <xf numFmtId="164" fontId="27" fillId="0" borderId="10" xfId="0" applyNumberFormat="1" applyFont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26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7" fillId="0" borderId="10" xfId="0" applyFont="1" applyBorder="1" applyAlignment="1" applyProtection="1">
      <alignment horizontal="left"/>
      <protection locked="0"/>
    </xf>
    <xf numFmtId="0" fontId="28" fillId="0" borderId="10" xfId="0" applyFont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vertical="justify" wrapText="1"/>
      <protection locked="0"/>
    </xf>
    <xf numFmtId="0" fontId="27" fillId="0" borderId="10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NumberFormat="1" applyFont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0" fillId="20" borderId="0" xfId="0" applyFont="1" applyFill="1" applyAlignment="1" applyProtection="1">
      <alignment/>
      <protection locked="0"/>
    </xf>
    <xf numFmtId="0" fontId="23" fillId="20" borderId="0" xfId="0" applyFont="1" applyFill="1" applyAlignment="1" applyProtection="1">
      <alignment horizontal="center"/>
      <protection locked="0"/>
    </xf>
    <xf numFmtId="0" fontId="24" fillId="20" borderId="0" xfId="0" applyFont="1" applyFill="1" applyAlignment="1" applyProtection="1">
      <alignment horizontal="center"/>
      <protection locked="0"/>
    </xf>
    <xf numFmtId="0" fontId="0" fillId="20" borderId="0" xfId="0" applyFont="1" applyFill="1" applyAlignment="1" applyProtection="1">
      <alignment/>
      <protection locked="0"/>
    </xf>
    <xf numFmtId="0" fontId="26" fillId="20" borderId="10" xfId="0" applyFont="1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 applyProtection="1">
      <alignment vertical="center" wrapText="1"/>
      <protection locked="0"/>
    </xf>
    <xf numFmtId="0" fontId="0" fillId="20" borderId="10" xfId="0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/>
      <protection locked="0"/>
    </xf>
    <xf numFmtId="0" fontId="27" fillId="0" borderId="13" xfId="0" applyNumberFormat="1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10" fontId="27" fillId="0" borderId="10" xfId="0" applyNumberFormat="1" applyFont="1" applyBorder="1" applyAlignment="1" applyProtection="1">
      <alignment horizontal="left" vertical="center"/>
      <protection locked="0"/>
    </xf>
    <xf numFmtId="164" fontId="27" fillId="0" borderId="10" xfId="0" applyNumberFormat="1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164" fontId="27" fillId="0" borderId="13" xfId="0" applyNumberFormat="1" applyFont="1" applyBorder="1" applyAlignment="1" applyProtection="1">
      <alignment/>
      <protection locked="0"/>
    </xf>
    <xf numFmtId="0" fontId="27" fillId="0" borderId="16" xfId="0" applyFont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/>
      <protection locked="0"/>
    </xf>
    <xf numFmtId="164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right"/>
      <protection locked="0"/>
    </xf>
    <xf numFmtId="10" fontId="27" fillId="0" borderId="10" xfId="0" applyNumberFormat="1" applyFont="1" applyFill="1" applyBorder="1" applyAlignment="1" applyProtection="1">
      <alignment/>
      <protection locked="0"/>
    </xf>
    <xf numFmtId="9" fontId="27" fillId="0" borderId="10" xfId="87" applyFont="1" applyBorder="1" applyAlignment="1" applyProtection="1">
      <alignment horizontal="right"/>
      <protection locked="0"/>
    </xf>
    <xf numFmtId="0" fontId="27" fillId="0" borderId="10" xfId="0" applyFont="1" applyBorder="1" applyAlignment="1" applyProtection="1">
      <alignment horizontal="right" vertical="center"/>
      <protection locked="0"/>
    </xf>
    <xf numFmtId="164" fontId="27" fillId="0" borderId="10" xfId="0" applyNumberFormat="1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12" xfId="0" applyFont="1" applyBorder="1" applyAlignment="1" applyProtection="1">
      <alignment horizontal="right" vertical="center" wrapText="1"/>
      <protection locked="0"/>
    </xf>
    <xf numFmtId="10" fontId="27" fillId="0" borderId="10" xfId="0" applyNumberFormat="1" applyFont="1" applyBorder="1" applyAlignment="1" applyProtection="1">
      <alignment horizontal="right"/>
      <protection locked="0"/>
    </xf>
    <xf numFmtId="164" fontId="27" fillId="0" borderId="10" xfId="0" applyNumberFormat="1" applyFont="1" applyBorder="1" applyAlignment="1" applyProtection="1">
      <alignment horizontal="right" vertical="center"/>
      <protection locked="0"/>
    </xf>
    <xf numFmtId="10" fontId="27" fillId="0" borderId="10" xfId="0" applyNumberFormat="1" applyFont="1" applyBorder="1" applyAlignment="1" applyProtection="1">
      <alignment horizontal="right" vertical="center"/>
      <protection locked="0"/>
    </xf>
    <xf numFmtId="0" fontId="51" fillId="25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1" fillId="25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10" xfId="0" applyFont="1" applyBorder="1" applyAlignment="1">
      <alignment/>
    </xf>
    <xf numFmtId="0" fontId="52" fillId="25" borderId="10" xfId="0" applyFont="1" applyFill="1" applyBorder="1" applyAlignment="1">
      <alignment horizontal="center" vertical="center"/>
    </xf>
    <xf numFmtId="10" fontId="52" fillId="25" borderId="10" xfId="0" applyNumberFormat="1" applyFont="1" applyFill="1" applyBorder="1" applyAlignment="1">
      <alignment horizontal="center" vertical="center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vertical="center"/>
      <protection locked="0"/>
    </xf>
    <xf numFmtId="10" fontId="27" fillId="0" borderId="0" xfId="0" applyNumberFormat="1" applyFont="1" applyBorder="1" applyAlignment="1" applyProtection="1">
      <alignment/>
      <protection locked="0"/>
    </xf>
    <xf numFmtId="0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left"/>
      <protection locked="0"/>
    </xf>
    <xf numFmtId="164" fontId="27" fillId="0" borderId="0" xfId="0" applyNumberFormat="1" applyFont="1" applyBorder="1" applyAlignment="1" applyProtection="1">
      <alignment horizontal="right"/>
      <protection locked="0"/>
    </xf>
    <xf numFmtId="10" fontId="27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/>
      <protection locked="0"/>
    </xf>
    <xf numFmtId="164" fontId="27" fillId="0" borderId="0" xfId="0" applyNumberFormat="1" applyFont="1" applyBorder="1" applyAlignment="1" applyProtection="1">
      <alignment horizontal="left" vertical="center"/>
      <protection locked="0"/>
    </xf>
    <xf numFmtId="10" fontId="27" fillId="0" borderId="0" xfId="0" applyNumberFormat="1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164" fontId="27" fillId="0" borderId="0" xfId="0" applyNumberFormat="1" applyFont="1" applyFill="1" applyBorder="1" applyAlignment="1" applyProtection="1">
      <alignment/>
      <protection locked="0"/>
    </xf>
    <xf numFmtId="10" fontId="27" fillId="0" borderId="0" xfId="0" applyNumberFormat="1" applyFont="1" applyFill="1" applyBorder="1" applyAlignment="1" applyProtection="1">
      <alignment/>
      <protection locked="0"/>
    </xf>
    <xf numFmtId="0" fontId="52" fillId="25" borderId="12" xfId="0" applyFont="1" applyFill="1" applyBorder="1" applyAlignment="1" applyProtection="1">
      <alignment horizontal="center" vertical="center"/>
      <protection hidden="1"/>
    </xf>
    <xf numFmtId="0" fontId="51" fillId="25" borderId="12" xfId="0" applyFont="1" applyFill="1" applyBorder="1" applyAlignment="1" applyProtection="1">
      <alignment horizontal="center" vertical="center"/>
      <protection hidden="1"/>
    </xf>
    <xf numFmtId="10" fontId="51" fillId="2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/>
      <protection locked="0"/>
    </xf>
    <xf numFmtId="0" fontId="53" fillId="25" borderId="13" xfId="0" applyFont="1" applyFill="1" applyBorder="1" applyAlignment="1">
      <alignment horizontal="center" vertical="center"/>
    </xf>
    <xf numFmtId="0" fontId="53" fillId="25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1" fillId="25" borderId="17" xfId="0" applyFont="1" applyFill="1" applyBorder="1" applyAlignment="1">
      <alignment horizontal="center" wrapText="1"/>
    </xf>
    <xf numFmtId="0" fontId="25" fillId="20" borderId="0" xfId="0" applyFont="1" applyFill="1" applyAlignment="1" applyProtection="1">
      <alignment horizont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vertical="center" wrapText="1"/>
      <protection locked="0"/>
    </xf>
    <xf numFmtId="10" fontId="27" fillId="0" borderId="11" xfId="0" applyNumberFormat="1" applyFont="1" applyBorder="1" applyAlignment="1" applyProtection="1">
      <alignment/>
      <protection locked="0"/>
    </xf>
    <xf numFmtId="10" fontId="0" fillId="20" borderId="10" xfId="0" applyNumberFormat="1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/>
      <protection locked="0"/>
    </xf>
    <xf numFmtId="0" fontId="25" fillId="20" borderId="0" xfId="0" applyFont="1" applyFill="1" applyAlignment="1" applyProtection="1">
      <alignment horizontal="left" vertical="top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right" vertical="center"/>
      <protection locked="0"/>
    </xf>
    <xf numFmtId="164" fontId="27" fillId="0" borderId="19" xfId="0" applyNumberFormat="1" applyFont="1" applyBorder="1" applyAlignment="1" applyProtection="1">
      <alignment horizontal="left" vertical="center"/>
      <protection locked="0"/>
    </xf>
    <xf numFmtId="164" fontId="27" fillId="0" borderId="19" xfId="0" applyNumberFormat="1" applyFont="1" applyBorder="1" applyAlignment="1" applyProtection="1">
      <alignment horizontal="righ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/>
      <protection locked="0"/>
    </xf>
    <xf numFmtId="0" fontId="27" fillId="0" borderId="19" xfId="0" applyFont="1" applyBorder="1" applyAlignment="1" applyProtection="1">
      <alignment/>
      <protection locked="0"/>
    </xf>
    <xf numFmtId="0" fontId="27" fillId="0" borderId="19" xfId="0" applyFont="1" applyBorder="1" applyAlignment="1" applyProtection="1">
      <alignment horizontal="right"/>
      <protection locked="0"/>
    </xf>
    <xf numFmtId="164" fontId="27" fillId="0" borderId="19" xfId="0" applyNumberFormat="1" applyFont="1" applyBorder="1" applyAlignment="1" applyProtection="1">
      <alignment/>
      <protection locked="0"/>
    </xf>
    <xf numFmtId="164" fontId="27" fillId="0" borderId="19" xfId="0" applyNumberFormat="1" applyFont="1" applyBorder="1" applyAlignment="1" applyProtection="1">
      <alignment horizontal="right"/>
      <protection locked="0"/>
    </xf>
    <xf numFmtId="0" fontId="27" fillId="0" borderId="21" xfId="0" applyFont="1" applyBorder="1" applyAlignment="1" applyProtection="1">
      <alignment/>
      <protection locked="0"/>
    </xf>
    <xf numFmtId="0" fontId="27" fillId="0" borderId="21" xfId="0" applyNumberFormat="1" applyFont="1" applyBorder="1" applyAlignment="1" applyProtection="1">
      <alignment/>
      <protection locked="0"/>
    </xf>
    <xf numFmtId="0" fontId="27" fillId="0" borderId="22" xfId="0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 vertical="center" wrapText="1"/>
      <protection locked="0"/>
    </xf>
    <xf numFmtId="0" fontId="27" fillId="0" borderId="19" xfId="0" applyFont="1" applyBorder="1" applyAlignment="1" applyProtection="1">
      <alignment horizontal="left"/>
      <protection locked="0"/>
    </xf>
    <xf numFmtId="0" fontId="27" fillId="0" borderId="19" xfId="0" applyFont="1" applyBorder="1" applyAlignment="1" applyProtection="1">
      <alignment vertical="justify" wrapText="1"/>
      <protection locked="0"/>
    </xf>
    <xf numFmtId="0" fontId="27" fillId="0" borderId="19" xfId="0" applyFont="1" applyFill="1" applyBorder="1" applyAlignment="1" applyProtection="1">
      <alignment/>
      <protection locked="0"/>
    </xf>
    <xf numFmtId="164" fontId="27" fillId="0" borderId="21" xfId="0" applyNumberFormat="1" applyFont="1" applyBorder="1" applyAlignment="1" applyProtection="1">
      <alignment/>
      <protection locked="0"/>
    </xf>
    <xf numFmtId="0" fontId="27" fillId="0" borderId="23" xfId="0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164" fontId="27" fillId="0" borderId="0" xfId="0" applyNumberFormat="1" applyFont="1" applyBorder="1" applyAlignment="1" applyProtection="1">
      <alignment horizontal="right" vertical="center"/>
      <protection locked="0"/>
    </xf>
    <xf numFmtId="10" fontId="27" fillId="0" borderId="0" xfId="0" applyNumberFormat="1" applyFont="1" applyBorder="1" applyAlignment="1" applyProtection="1">
      <alignment horizontal="right" vertical="center"/>
      <protection locked="0"/>
    </xf>
    <xf numFmtId="9" fontId="27" fillId="0" borderId="0" xfId="87" applyFont="1" applyBorder="1" applyAlignment="1" applyProtection="1">
      <alignment horizontal="right"/>
      <protection locked="0"/>
    </xf>
    <xf numFmtId="0" fontId="27" fillId="0" borderId="0" xfId="0" applyFont="1" applyBorder="1" applyAlignment="1" applyProtection="1">
      <alignment vertical="justify" wrapText="1"/>
      <protection locked="0"/>
    </xf>
    <xf numFmtId="0" fontId="27" fillId="0" borderId="24" xfId="0" applyFont="1" applyBorder="1" applyAlignment="1" applyProtection="1">
      <alignment/>
      <protection locked="0"/>
    </xf>
    <xf numFmtId="0" fontId="27" fillId="0" borderId="10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24" borderId="1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0" fontId="25" fillId="20" borderId="0" xfId="0" applyFont="1" applyFill="1" applyAlignment="1" applyProtection="1">
      <alignment wrapText="1"/>
      <protection locked="0"/>
    </xf>
    <xf numFmtId="0" fontId="54" fillId="20" borderId="0" xfId="0" applyFont="1" applyFill="1" applyAlignment="1" applyProtection="1">
      <alignment/>
      <protection locked="0"/>
    </xf>
    <xf numFmtId="14" fontId="27" fillId="0" borderId="10" xfId="0" applyNumberFormat="1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hidden="1"/>
    </xf>
    <xf numFmtId="10" fontId="1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10" fontId="0" fillId="0" borderId="10" xfId="0" applyNumberFormat="1" applyFont="1" applyFill="1" applyBorder="1" applyAlignment="1" applyProtection="1">
      <alignment/>
      <protection hidden="1"/>
    </xf>
    <xf numFmtId="10" fontId="0" fillId="0" borderId="10" xfId="0" applyNumberFormat="1" applyFont="1" applyFill="1" applyBorder="1" applyAlignment="1" applyProtection="1">
      <alignment horizontal="left"/>
      <protection hidden="1"/>
    </xf>
    <xf numFmtId="0" fontId="23" fillId="20" borderId="0" xfId="0" applyFont="1" applyFill="1" applyAlignment="1" applyProtection="1">
      <alignment horizontal="center" wrapText="1"/>
      <protection locked="0"/>
    </xf>
    <xf numFmtId="0" fontId="0" fillId="20" borderId="0" xfId="0" applyFont="1" applyFill="1" applyAlignment="1" applyProtection="1">
      <alignment horizontal="center"/>
      <protection locked="0"/>
    </xf>
    <xf numFmtId="14" fontId="0" fillId="26" borderId="0" xfId="0" applyNumberFormat="1" applyFont="1" applyFill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26" fillId="26" borderId="13" xfId="0" applyFont="1" applyFill="1" applyBorder="1" applyAlignment="1" applyProtection="1">
      <alignment horizontal="center" vertical="center"/>
      <protection locked="0"/>
    </xf>
    <xf numFmtId="0" fontId="26" fillId="26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24" fillId="20" borderId="0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wrapText="1"/>
      <protection locked="0"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Alignment="1" applyProtection="1">
      <alignment wrapText="1"/>
      <protection locked="0"/>
    </xf>
    <xf numFmtId="0" fontId="0" fillId="24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164" fontId="27" fillId="0" borderId="11" xfId="0" applyNumberFormat="1" applyFont="1" applyBorder="1" applyAlignment="1" applyProtection="1">
      <alignment/>
      <protection locked="0"/>
    </xf>
    <xf numFmtId="14" fontId="27" fillId="0" borderId="0" xfId="0" applyNumberFormat="1" applyFont="1" applyBorder="1" applyAlignment="1" applyProtection="1">
      <alignment/>
      <protection locked="0"/>
    </xf>
    <xf numFmtId="0" fontId="27" fillId="0" borderId="10" xfId="0" applyNumberFormat="1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/>
      <protection locked="0"/>
    </xf>
    <xf numFmtId="0" fontId="27" fillId="0" borderId="21" xfId="0" applyFont="1" applyBorder="1" applyAlignment="1" applyProtection="1">
      <alignment/>
      <protection locked="0"/>
    </xf>
    <xf numFmtId="0" fontId="51" fillId="25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27" fillId="0" borderId="13" xfId="0" applyFont="1" applyBorder="1" applyAlignment="1" applyProtection="1">
      <alignment vertical="center"/>
      <protection locked="0"/>
    </xf>
    <xf numFmtId="0" fontId="27" fillId="0" borderId="21" xfId="0" applyFont="1" applyBorder="1" applyAlignment="1" applyProtection="1">
      <alignment vertical="center"/>
      <protection locked="0"/>
    </xf>
    <xf numFmtId="0" fontId="27" fillId="0" borderId="25" xfId="0" applyFont="1" applyBorder="1" applyAlignment="1" applyProtection="1">
      <alignment vertical="center"/>
      <protection locked="0"/>
    </xf>
    <xf numFmtId="0" fontId="27" fillId="0" borderId="26" xfId="0" applyFont="1" applyBorder="1" applyAlignment="1" applyProtection="1">
      <alignment vertical="center"/>
      <protection locked="0"/>
    </xf>
    <xf numFmtId="0" fontId="27" fillId="0" borderId="27" xfId="0" applyFont="1" applyBorder="1" applyAlignment="1" applyProtection="1">
      <alignment vertical="center"/>
      <protection locked="0"/>
    </xf>
    <xf numFmtId="0" fontId="27" fillId="0" borderId="28" xfId="0" applyFont="1" applyBorder="1" applyAlignment="1" applyProtection="1">
      <alignment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right"/>
      <protection locked="0"/>
    </xf>
    <xf numFmtId="0" fontId="27" fillId="0" borderId="11" xfId="0" applyFont="1" applyBorder="1" applyAlignment="1" applyProtection="1">
      <alignment/>
      <protection locked="0"/>
    </xf>
    <xf numFmtId="0" fontId="26" fillId="20" borderId="27" xfId="0" applyFont="1" applyFill="1" applyBorder="1" applyAlignment="1" applyProtection="1">
      <alignment horizontal="center" vertical="center"/>
      <protection locked="0"/>
    </xf>
    <xf numFmtId="0" fontId="27" fillId="20" borderId="10" xfId="0" applyFont="1" applyFill="1" applyBorder="1" applyAlignment="1" applyProtection="1">
      <alignment vertical="center" wrapText="1"/>
      <protection locked="0"/>
    </xf>
    <xf numFmtId="0" fontId="27" fillId="20" borderId="19" xfId="0" applyFont="1" applyFill="1" applyBorder="1" applyAlignment="1" applyProtection="1">
      <alignment vertical="center" wrapText="1"/>
      <protection locked="0"/>
    </xf>
    <xf numFmtId="0" fontId="33" fillId="27" borderId="10" xfId="0" applyFont="1" applyFill="1" applyBorder="1" applyAlignment="1" applyProtection="1">
      <alignment horizontal="center" vertical="center" wrapText="1"/>
      <protection hidden="1"/>
    </xf>
    <xf numFmtId="0" fontId="27" fillId="20" borderId="0" xfId="0" applyFont="1" applyFill="1" applyAlignment="1" applyProtection="1">
      <alignment/>
      <protection locked="0"/>
    </xf>
    <xf numFmtId="0" fontId="34" fillId="20" borderId="10" xfId="0" applyFont="1" applyFill="1" applyBorder="1" applyAlignment="1" applyProtection="1">
      <alignment vertical="center" wrapText="1"/>
      <protection locked="0"/>
    </xf>
    <xf numFmtId="0" fontId="34" fillId="20" borderId="19" xfId="0" applyFont="1" applyFill="1" applyBorder="1" applyAlignment="1" applyProtection="1">
      <alignment vertical="center" wrapText="1"/>
      <protection locked="0"/>
    </xf>
    <xf numFmtId="0" fontId="33" fillId="27" borderId="12" xfId="0" applyFont="1" applyFill="1" applyBorder="1" applyAlignment="1" applyProtection="1">
      <alignment horizontal="center" vertical="center" wrapText="1"/>
      <protection hidden="1"/>
    </xf>
    <xf numFmtId="0" fontId="26" fillId="20" borderId="0" xfId="0" applyFont="1" applyFill="1" applyBorder="1" applyAlignment="1" applyProtection="1">
      <alignment horizontal="center" vertical="center"/>
      <protection locked="0"/>
    </xf>
    <xf numFmtId="0" fontId="26" fillId="20" borderId="28" xfId="0" applyFont="1" applyFill="1" applyBorder="1" applyAlignment="1" applyProtection="1">
      <alignment horizontal="center" vertical="center"/>
      <protection locked="0"/>
    </xf>
    <xf numFmtId="0" fontId="26" fillId="20" borderId="29" xfId="0" applyFont="1" applyFill="1" applyBorder="1" applyAlignment="1" applyProtection="1">
      <alignment horizontal="center"/>
      <protection locked="0"/>
    </xf>
    <xf numFmtId="0" fontId="26" fillId="20" borderId="30" xfId="0" applyFont="1" applyFill="1" applyBorder="1" applyAlignment="1" applyProtection="1">
      <alignment horizontal="center"/>
      <protection locked="0"/>
    </xf>
    <xf numFmtId="0" fontId="34" fillId="20" borderId="12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14" fontId="0" fillId="24" borderId="0" xfId="0" applyNumberFormat="1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 wrapText="1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31" xfId="0" applyFont="1" applyFill="1" applyBorder="1" applyAlignment="1" applyProtection="1">
      <alignment/>
      <protection locked="0"/>
    </xf>
    <xf numFmtId="164" fontId="27" fillId="0" borderId="13" xfId="0" applyNumberFormat="1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right"/>
      <protection locked="0"/>
    </xf>
    <xf numFmtId="0" fontId="27" fillId="0" borderId="13" xfId="0" applyFont="1" applyBorder="1" applyAlignment="1" applyProtection="1">
      <alignment horizontal="left"/>
      <protection locked="0"/>
    </xf>
    <xf numFmtId="0" fontId="27" fillId="0" borderId="11" xfId="0" applyNumberFormat="1" applyFont="1" applyBorder="1" applyAlignment="1" applyProtection="1">
      <alignment horizontal="left" vertical="center"/>
      <protection locked="0"/>
    </xf>
    <xf numFmtId="164" fontId="27" fillId="0" borderId="11" xfId="0" applyNumberFormat="1" applyFont="1" applyBorder="1" applyAlignment="1" applyProtection="1">
      <alignment horizontal="right" vertical="center"/>
      <protection locked="0"/>
    </xf>
    <xf numFmtId="164" fontId="27" fillId="0" borderId="11" xfId="0" applyNumberFormat="1" applyFont="1" applyBorder="1" applyAlignment="1" applyProtection="1">
      <alignment horizontal="right"/>
      <protection locked="0"/>
    </xf>
    <xf numFmtId="164" fontId="27" fillId="0" borderId="11" xfId="0" applyNumberFormat="1" applyFont="1" applyBorder="1" applyAlignment="1" applyProtection="1">
      <alignment horizontal="left" vertical="center"/>
      <protection locked="0"/>
    </xf>
    <xf numFmtId="0" fontId="56" fillId="0" borderId="10" xfId="68" applyFont="1" applyFill="1" applyBorder="1" applyAlignment="1">
      <alignment horizontal="center" vertical="top"/>
      <protection/>
    </xf>
    <xf numFmtId="0" fontId="56" fillId="0" borderId="10" xfId="68" applyFont="1" applyFill="1" applyBorder="1" applyAlignment="1">
      <alignment horizontal="left" vertical="top"/>
      <protection/>
    </xf>
    <xf numFmtId="0" fontId="56" fillId="0" borderId="10" xfId="68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6" fillId="0" borderId="10" xfId="66" applyFont="1" applyFill="1" applyBorder="1" applyAlignment="1">
      <alignment horizontal="center"/>
      <protection/>
    </xf>
    <xf numFmtId="0" fontId="56" fillId="0" borderId="10" xfId="0" applyFont="1" applyFill="1" applyBorder="1" applyAlignment="1" applyProtection="1">
      <alignment horizontal="left"/>
      <protection locked="0"/>
    </xf>
    <xf numFmtId="0" fontId="56" fillId="0" borderId="10" xfId="0" applyFont="1" applyFill="1" applyBorder="1" applyAlignment="1" applyProtection="1">
      <alignment horizontal="left" vertical="center"/>
      <protection locked="0"/>
    </xf>
    <xf numFmtId="0" fontId="56" fillId="0" borderId="10" xfId="66" applyFont="1" applyFill="1" applyBorder="1" applyAlignment="1">
      <alignment/>
      <protection/>
    </xf>
    <xf numFmtId="0" fontId="56" fillId="0" borderId="10" xfId="70" applyFont="1" applyFill="1" applyBorder="1" applyAlignment="1">
      <alignment horizontal="center"/>
      <protection/>
    </xf>
    <xf numFmtId="0" fontId="56" fillId="0" borderId="10" xfId="70" applyFont="1" applyFill="1" applyBorder="1" applyAlignment="1">
      <alignment/>
      <protection/>
    </xf>
    <xf numFmtId="0" fontId="56" fillId="0" borderId="10" xfId="0" applyFont="1" applyFill="1" applyBorder="1" applyAlignment="1">
      <alignment wrapText="1"/>
    </xf>
    <xf numFmtId="0" fontId="56" fillId="0" borderId="10" xfId="45" applyFont="1" applyFill="1" applyBorder="1" applyAlignment="1">
      <alignment horizontal="center" vertical="top"/>
      <protection/>
    </xf>
    <xf numFmtId="0" fontId="56" fillId="0" borderId="10" xfId="45" applyFont="1" applyFill="1" applyBorder="1" applyAlignment="1">
      <alignment horizontal="left" vertical="top"/>
      <protection/>
    </xf>
    <xf numFmtId="0" fontId="27" fillId="0" borderId="10" xfId="0" applyFont="1" applyFill="1" applyBorder="1" applyAlignment="1">
      <alignment/>
    </xf>
    <xf numFmtId="0" fontId="56" fillId="0" borderId="10" xfId="67" applyFont="1" applyFill="1" applyBorder="1" applyAlignment="1">
      <alignment horizontal="center"/>
      <protection/>
    </xf>
    <xf numFmtId="0" fontId="56" fillId="0" borderId="10" xfId="67" applyFont="1" applyFill="1" applyBorder="1" applyAlignment="1">
      <alignment horizontal="left" vertical="center" wrapText="1"/>
      <protection/>
    </xf>
    <xf numFmtId="0" fontId="56" fillId="0" borderId="10" xfId="67" applyFont="1" applyFill="1" applyBorder="1" applyAlignment="1">
      <alignment/>
      <protection/>
    </xf>
    <xf numFmtId="0" fontId="27" fillId="0" borderId="10" xfId="67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0" xfId="68" applyNumberFormat="1" applyFont="1" applyFill="1" applyBorder="1" applyAlignment="1" applyProtection="1">
      <alignment horizontal="center" vertical="top" wrapText="1"/>
      <protection hidden="1"/>
    </xf>
    <xf numFmtId="0" fontId="27" fillId="0" borderId="10" xfId="0" applyFont="1" applyFill="1" applyBorder="1" applyAlignment="1">
      <alignment horizontal="center" wrapText="1"/>
    </xf>
    <xf numFmtId="0" fontId="27" fillId="0" borderId="10" xfId="67" applyFont="1" applyFill="1" applyBorder="1" applyAlignment="1">
      <alignment wrapText="1"/>
      <protection/>
    </xf>
    <xf numFmtId="0" fontId="27" fillId="0" borderId="10" xfId="74" applyFont="1" applyFill="1" applyBorder="1" applyAlignment="1">
      <alignment horizontal="center"/>
      <protection/>
    </xf>
    <xf numFmtId="0" fontId="27" fillId="0" borderId="10" xfId="74" applyFont="1" applyFill="1" applyBorder="1" applyAlignment="1">
      <alignment wrapText="1"/>
      <protection/>
    </xf>
    <xf numFmtId="0" fontId="27" fillId="0" borderId="10" xfId="73" applyFont="1" applyFill="1" applyBorder="1" applyAlignment="1">
      <alignment horizontal="center"/>
      <protection/>
    </xf>
    <xf numFmtId="0" fontId="27" fillId="0" borderId="10" xfId="73" applyFont="1" applyFill="1" applyBorder="1" applyAlignment="1">
      <alignment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69" applyNumberFormat="1" applyFont="1" applyFill="1" applyBorder="1" applyAlignment="1" applyProtection="1">
      <alignment horizontal="center" vertical="top" wrapText="1"/>
      <protection hidden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56" fillId="0" borderId="10" xfId="66" applyFont="1" applyFill="1" applyBorder="1" applyAlignment="1">
      <alignment wrapText="1"/>
      <protection/>
    </xf>
    <xf numFmtId="0" fontId="56" fillId="0" borderId="10" xfId="67" applyFont="1" applyFill="1" applyBorder="1" applyAlignment="1">
      <alignment wrapText="1"/>
      <protection/>
    </xf>
    <xf numFmtId="0" fontId="56" fillId="0" borderId="10" xfId="74" applyFont="1" applyFill="1" applyBorder="1" applyAlignment="1">
      <alignment horizontal="center"/>
      <protection/>
    </xf>
    <xf numFmtId="0" fontId="56" fillId="0" borderId="10" xfId="74" applyFont="1" applyFill="1" applyBorder="1" applyAlignment="1">
      <alignment/>
      <protection/>
    </xf>
    <xf numFmtId="0" fontId="56" fillId="0" borderId="10" xfId="46" applyFont="1" applyFill="1" applyBorder="1" applyAlignment="1">
      <alignment horizontal="center"/>
      <protection/>
    </xf>
    <xf numFmtId="0" fontId="56" fillId="0" borderId="10" xfId="46" applyFont="1" applyFill="1" applyBorder="1" applyAlignment="1">
      <alignment horizontal="left"/>
      <protection/>
    </xf>
    <xf numFmtId="0" fontId="5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10" xfId="0" applyFont="1" applyBorder="1" applyAlignment="1">
      <alignment/>
    </xf>
    <xf numFmtId="0" fontId="27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 applyProtection="1">
      <alignment/>
      <protection locked="0"/>
    </xf>
    <xf numFmtId="0" fontId="56" fillId="0" borderId="10" xfId="0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56" fillId="0" borderId="10" xfId="72" applyFont="1" applyFill="1" applyBorder="1" applyAlignment="1">
      <alignment horizontal="center"/>
      <protection/>
    </xf>
    <xf numFmtId="0" fontId="56" fillId="0" borderId="10" xfId="72" applyFont="1" applyFill="1" applyBorder="1" applyAlignment="1">
      <alignment/>
      <protection/>
    </xf>
    <xf numFmtId="0" fontId="56" fillId="0" borderId="10" xfId="0" applyFont="1" applyFill="1" applyBorder="1" applyAlignment="1" quotePrefix="1">
      <alignment horizontal="center"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 applyProtection="1">
      <alignment vertical="top" wrapText="1"/>
      <protection hidden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35" fillId="0" borderId="10" xfId="0" applyNumberFormat="1" applyFont="1" applyFill="1" applyBorder="1" applyAlignment="1" applyProtection="1">
      <alignment horizontal="center" wrapText="1"/>
      <protection/>
    </xf>
    <xf numFmtId="0" fontId="27" fillId="0" borderId="10" xfId="68" applyFont="1" applyBorder="1" applyAlignment="1">
      <alignment wrapText="1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34" fillId="0" borderId="10" xfId="0" applyNumberFormat="1" applyFont="1" applyFill="1" applyBorder="1" applyAlignment="1" applyProtection="1">
      <alignment horizontal="center" wrapText="1"/>
      <protection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68" applyFont="1" applyFill="1" applyBorder="1" applyAlignment="1">
      <alignment horizontal="center" vertical="center" wrapText="1"/>
      <protection/>
    </xf>
    <xf numFmtId="0" fontId="57" fillId="20" borderId="0" xfId="0" applyFont="1" applyFill="1" applyAlignment="1" applyProtection="1">
      <alignment/>
      <protection locked="0"/>
    </xf>
    <xf numFmtId="170" fontId="27" fillId="0" borderId="11" xfId="0" applyNumberFormat="1" applyFont="1" applyBorder="1" applyAlignment="1" applyProtection="1">
      <alignment horizontal="left" vertical="center"/>
      <protection locked="0"/>
    </xf>
    <xf numFmtId="170" fontId="27" fillId="0" borderId="10" xfId="0" applyNumberFormat="1" applyFont="1" applyBorder="1" applyAlignment="1" applyProtection="1">
      <alignment horizontal="left" vertical="center"/>
      <protection locked="0"/>
    </xf>
    <xf numFmtId="170" fontId="27" fillId="0" borderId="10" xfId="0" applyNumberFormat="1" applyFont="1" applyBorder="1" applyAlignment="1" applyProtection="1">
      <alignment/>
      <protection locked="0"/>
    </xf>
    <xf numFmtId="0" fontId="26" fillId="20" borderId="27" xfId="0" applyFont="1" applyFill="1" applyBorder="1" applyAlignment="1" applyProtection="1">
      <alignment horizontal="left" vertical="center"/>
      <protection locked="0"/>
    </xf>
    <xf numFmtId="0" fontId="54" fillId="20" borderId="27" xfId="0" applyFont="1" applyFill="1" applyBorder="1" applyAlignment="1" applyProtection="1">
      <alignment horizontal="left" vertical="center"/>
      <protection locked="0"/>
    </xf>
    <xf numFmtId="0" fontId="26" fillId="20" borderId="30" xfId="0" applyFont="1" applyFill="1" applyBorder="1" applyAlignment="1" applyProtection="1">
      <alignment/>
      <protection locked="0"/>
    </xf>
    <xf numFmtId="0" fontId="26" fillId="20" borderId="16" xfId="0" applyFont="1" applyFill="1" applyBorder="1" applyAlignment="1" applyProtection="1">
      <alignment/>
      <protection locked="0"/>
    </xf>
    <xf numFmtId="0" fontId="58" fillId="20" borderId="10" xfId="0" applyFont="1" applyFill="1" applyBorder="1" applyAlignment="1" applyProtection="1">
      <alignment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27" fillId="0" borderId="10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  <xf numFmtId="0" fontId="27" fillId="0" borderId="13" xfId="0" applyFont="1" applyBorder="1" applyAlignment="1" applyProtection="1">
      <alignment horizontal="right" vertical="center"/>
      <protection locked="0"/>
    </xf>
    <xf numFmtId="164" fontId="27" fillId="0" borderId="10" xfId="0" applyNumberFormat="1" applyFont="1" applyBorder="1" applyAlignment="1" applyProtection="1">
      <alignment horizontal="left"/>
      <protection locked="0"/>
    </xf>
    <xf numFmtId="14" fontId="27" fillId="0" borderId="10" xfId="0" applyNumberFormat="1" applyFont="1" applyBorder="1" applyAlignment="1" applyProtection="1">
      <alignment horizontal="left"/>
      <protection locked="0"/>
    </xf>
    <xf numFmtId="170" fontId="27" fillId="0" borderId="10" xfId="0" applyNumberFormat="1" applyFont="1" applyBorder="1" applyAlignment="1" applyProtection="1">
      <alignment horizontal="left"/>
      <protection locked="0"/>
    </xf>
    <xf numFmtId="0" fontId="27" fillId="0" borderId="23" xfId="0" applyFont="1" applyBorder="1" applyAlignment="1" applyProtection="1">
      <alignment horizontal="left" vertical="center"/>
      <protection locked="0"/>
    </xf>
    <xf numFmtId="10" fontId="27" fillId="0" borderId="19" xfId="0" applyNumberFormat="1" applyFont="1" applyBorder="1" applyAlignment="1" applyProtection="1">
      <alignment/>
      <protection locked="0"/>
    </xf>
    <xf numFmtId="14" fontId="27" fillId="0" borderId="19" xfId="0" applyNumberFormat="1" applyFont="1" applyBorder="1" applyAlignment="1" applyProtection="1">
      <alignment/>
      <protection locked="0"/>
    </xf>
    <xf numFmtId="170" fontId="27" fillId="0" borderId="19" xfId="0" applyNumberFormat="1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0" xfId="0" applyNumberFormat="1" applyFont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left"/>
      <protection locked="0"/>
    </xf>
    <xf numFmtId="164" fontId="27" fillId="0" borderId="10" xfId="0" applyNumberFormat="1" applyFont="1" applyFill="1" applyBorder="1" applyAlignment="1" applyProtection="1">
      <alignment horizontal="left"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0" fontId="27" fillId="0" borderId="13" xfId="0" applyFont="1" applyFill="1" applyBorder="1" applyAlignment="1" applyProtection="1">
      <alignment vertical="center"/>
      <protection locked="0"/>
    </xf>
    <xf numFmtId="10" fontId="27" fillId="0" borderId="11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left" wrapText="1"/>
      <protection hidden="1"/>
    </xf>
    <xf numFmtId="0" fontId="14" fillId="0" borderId="27" xfId="0" applyFont="1" applyFill="1" applyBorder="1" applyAlignment="1" applyProtection="1">
      <alignment horizontal="left" wrapText="1"/>
      <protection hidden="1"/>
    </xf>
    <xf numFmtId="0" fontId="51" fillId="25" borderId="19" xfId="0" applyFont="1" applyFill="1" applyBorder="1" applyAlignment="1">
      <alignment horizontal="center" vertical="center" wrapText="1"/>
    </xf>
    <xf numFmtId="0" fontId="51" fillId="25" borderId="12" xfId="0" applyFont="1" applyFill="1" applyBorder="1" applyAlignment="1">
      <alignment horizontal="center" vertical="center" wrapText="1"/>
    </xf>
    <xf numFmtId="0" fontId="51" fillId="25" borderId="10" xfId="0" applyFont="1" applyFill="1" applyBorder="1" applyAlignment="1">
      <alignment horizontal="center" vertical="center" wrapText="1"/>
    </xf>
    <xf numFmtId="0" fontId="0" fillId="26" borderId="0" xfId="0" applyFont="1" applyFill="1" applyAlignment="1" applyProtection="1">
      <alignment horizontal="center"/>
      <protection locked="0"/>
    </xf>
    <xf numFmtId="0" fontId="60" fillId="28" borderId="13" xfId="0" applyFont="1" applyFill="1" applyBorder="1" applyAlignment="1">
      <alignment horizontal="center" vertical="center" wrapText="1"/>
    </xf>
    <xf numFmtId="0" fontId="60" fillId="28" borderId="27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 applyProtection="1">
      <alignment horizontal="center"/>
      <protection locked="0"/>
    </xf>
    <xf numFmtId="0" fontId="26" fillId="20" borderId="27" xfId="0" applyFont="1" applyFill="1" applyBorder="1" applyAlignment="1" applyProtection="1">
      <alignment horizontal="center"/>
      <protection locked="0"/>
    </xf>
    <xf numFmtId="0" fontId="26" fillId="20" borderId="28" xfId="0" applyFont="1" applyFill="1" applyBorder="1" applyAlignment="1" applyProtection="1">
      <alignment horizontal="center"/>
      <protection locked="0"/>
    </xf>
    <xf numFmtId="0" fontId="26" fillId="20" borderId="11" xfId="0" applyFont="1" applyFill="1" applyBorder="1" applyAlignment="1" applyProtection="1">
      <alignment horizontal="center"/>
      <protection locked="0"/>
    </xf>
    <xf numFmtId="0" fontId="61" fillId="20" borderId="21" xfId="0" applyFont="1" applyFill="1" applyBorder="1" applyAlignment="1" applyProtection="1">
      <alignment horizontal="center" vertical="center" wrapText="1"/>
      <protection locked="0"/>
    </xf>
    <xf numFmtId="0" fontId="61" fillId="20" borderId="23" xfId="0" applyFont="1" applyFill="1" applyBorder="1" applyAlignment="1" applyProtection="1">
      <alignment horizontal="center" vertical="center" wrapText="1"/>
      <protection locked="0"/>
    </xf>
    <xf numFmtId="0" fontId="61" fillId="20" borderId="18" xfId="0" applyFont="1" applyFill="1" applyBorder="1" applyAlignment="1" applyProtection="1">
      <alignment horizontal="center" vertical="center" wrapText="1"/>
      <protection locked="0"/>
    </xf>
    <xf numFmtId="0" fontId="61" fillId="20" borderId="29" xfId="0" applyFont="1" applyFill="1" applyBorder="1" applyAlignment="1" applyProtection="1">
      <alignment horizontal="center" vertical="center" wrapText="1"/>
      <protection locked="0"/>
    </xf>
    <xf numFmtId="0" fontId="61" fillId="20" borderId="30" xfId="0" applyFont="1" applyFill="1" applyBorder="1" applyAlignment="1" applyProtection="1">
      <alignment horizontal="center" vertical="center" wrapText="1"/>
      <protection locked="0"/>
    </xf>
    <xf numFmtId="0" fontId="61" fillId="20" borderId="16" xfId="0" applyFont="1" applyFill="1" applyBorder="1" applyAlignment="1" applyProtection="1">
      <alignment horizontal="center" vertical="center" wrapText="1"/>
      <protection locked="0"/>
    </xf>
    <xf numFmtId="0" fontId="60" fillId="28" borderId="18" xfId="0" applyFont="1" applyFill="1" applyBorder="1" applyAlignment="1">
      <alignment horizontal="center" vertical="center" wrapText="1"/>
    </xf>
    <xf numFmtId="0" fontId="60" fillId="28" borderId="0" xfId="0" applyFont="1" applyFill="1" applyBorder="1" applyAlignment="1">
      <alignment horizontal="center" vertical="center" wrapText="1"/>
    </xf>
    <xf numFmtId="0" fontId="26" fillId="20" borderId="27" xfId="0" applyFont="1" applyFill="1" applyBorder="1" applyAlignment="1" applyProtection="1">
      <alignment horizontal="center" vertical="center"/>
      <protection locked="0"/>
    </xf>
    <xf numFmtId="14" fontId="0" fillId="24" borderId="0" xfId="0" applyNumberFormat="1" applyFont="1" applyFill="1" applyAlignment="1" applyProtection="1">
      <alignment horizontal="center"/>
      <protection locked="0"/>
    </xf>
    <xf numFmtId="0" fontId="23" fillId="20" borderId="0" xfId="0" applyFont="1" applyFill="1" applyAlignment="1" applyProtection="1">
      <alignment horizontal="center" wrapText="1"/>
      <protection locked="0"/>
    </xf>
    <xf numFmtId="0" fontId="26" fillId="20" borderId="28" xfId="0" applyFont="1" applyFill="1" applyBorder="1" applyAlignment="1" applyProtection="1">
      <alignment horizontal="right"/>
      <protection locked="0"/>
    </xf>
    <xf numFmtId="0" fontId="26" fillId="20" borderId="13" xfId="0" applyFont="1" applyFill="1" applyBorder="1" applyAlignment="1" applyProtection="1">
      <alignment horizontal="center" vertical="center"/>
      <protection locked="0"/>
    </xf>
    <xf numFmtId="0" fontId="26" fillId="20" borderId="11" xfId="0" applyFont="1" applyFill="1" applyBorder="1" applyAlignment="1" applyProtection="1">
      <alignment horizontal="center" vertical="center"/>
      <protection locked="0"/>
    </xf>
    <xf numFmtId="0" fontId="0" fillId="20" borderId="13" xfId="0" applyFont="1" applyFill="1" applyBorder="1" applyAlignment="1" applyProtection="1">
      <alignment horizontal="center" vertical="center" wrapText="1"/>
      <protection locked="0"/>
    </xf>
    <xf numFmtId="0" fontId="0" fillId="20" borderId="27" xfId="0" applyFont="1" applyFill="1" applyBorder="1" applyAlignment="1" applyProtection="1">
      <alignment horizontal="center" vertical="center" wrapText="1"/>
      <protection locked="0"/>
    </xf>
    <xf numFmtId="0" fontId="0" fillId="20" borderId="11" xfId="0" applyFont="1" applyFill="1" applyBorder="1" applyAlignment="1" applyProtection="1">
      <alignment horizontal="center" vertical="center" wrapText="1"/>
      <protection locked="0"/>
    </xf>
    <xf numFmtId="0" fontId="24" fillId="20" borderId="0" xfId="0" applyFont="1" applyFill="1" applyAlignment="1" applyProtection="1">
      <alignment horizontal="center"/>
      <protection locked="0"/>
    </xf>
    <xf numFmtId="14" fontId="0" fillId="26" borderId="0" xfId="0" applyNumberFormat="1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24" borderId="27" xfId="0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0" fillId="29" borderId="32" xfId="0" applyFont="1" applyFill="1" applyBorder="1" applyAlignment="1" applyProtection="1">
      <alignment horizontal="center"/>
      <protection hidden="1"/>
    </xf>
    <xf numFmtId="0" fontId="0" fillId="29" borderId="33" xfId="0" applyFont="1" applyFill="1" applyBorder="1" applyAlignment="1" applyProtection="1">
      <alignment horizontal="center"/>
      <protection hidden="1"/>
    </xf>
    <xf numFmtId="0" fontId="0" fillId="20" borderId="10" xfId="0" applyFont="1" applyFill="1" applyBorder="1" applyAlignment="1" applyProtection="1">
      <alignment horizontal="center" wrapText="1"/>
      <protection locked="0"/>
    </xf>
    <xf numFmtId="0" fontId="0" fillId="26" borderId="0" xfId="0" applyFont="1" applyFill="1" applyAlignment="1" applyProtection="1">
      <alignment horizontal="center" wrapText="1"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ont="1" applyFill="1" applyAlignment="1" applyProtection="1">
      <alignment horizontal="center" wrapText="1"/>
      <protection locked="0"/>
    </xf>
  </cellXfs>
  <cellStyles count="7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Excel Built-in Normal" xfId="45"/>
    <cellStyle name="TableStyleLight1 2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2 3 10" xfId="67"/>
    <cellStyle name="Обычный 2" xfId="68"/>
    <cellStyle name="Обычный 2 3" xfId="69"/>
    <cellStyle name="Обычный 29 2" xfId="70"/>
    <cellStyle name="Обычный 3" xfId="71"/>
    <cellStyle name="Обычный 32" xfId="72"/>
    <cellStyle name="Обычный 35" xfId="73"/>
    <cellStyle name="Обычный 37" xfId="74"/>
    <cellStyle name="Обычный 4" xfId="75"/>
    <cellStyle name="Обычный 6" xfId="76"/>
    <cellStyle name="Обычный 6 1" xfId="77"/>
    <cellStyle name="Обычный 6 2" xfId="78"/>
    <cellStyle name="Обычный 6 3" xfId="79"/>
    <cellStyle name="Обычный 6 4" xfId="80"/>
    <cellStyle name="Обычный 6 5" xfId="81"/>
    <cellStyle name="Обычный 6 6" xfId="82"/>
    <cellStyle name="Обычный 6 7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rgb="FF9C0006"/>
      </font>
      <fill>
        <patternFill>
          <bgColor rgb="FFFFC7CE"/>
        </patternFill>
      </fill>
    </dxf>
    <dxf>
      <font>
        <sz val="11"/>
        <color rgb="FFFF0000"/>
      </font>
    </dxf>
    <dxf>
      <font>
        <sz val="11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Количество участников школьного этапа ВсОШ 2019-2020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75"/>
          <c:y val="0.081"/>
          <c:w val="0.994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Отчет!$B$14:$B$37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Отчет!$D$14:$D$37</c:f>
              <c:numCache>
                <c:ptCount val="24"/>
                <c:pt idx="0">
                  <c:v>32</c:v>
                </c:pt>
                <c:pt idx="1">
                  <c:v>3</c:v>
                </c:pt>
                <c:pt idx="2">
                  <c:v>17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1</c:v>
                </c:pt>
                <c:pt idx="10">
                  <c:v>26</c:v>
                </c:pt>
                <c:pt idx="11">
                  <c:v>63</c:v>
                </c:pt>
                <c:pt idx="12">
                  <c:v>0</c:v>
                </c:pt>
                <c:pt idx="13">
                  <c:v>7</c:v>
                </c:pt>
                <c:pt idx="14">
                  <c:v>46</c:v>
                </c:pt>
                <c:pt idx="15">
                  <c:v>8</c:v>
                </c:pt>
                <c:pt idx="16">
                  <c:v>66</c:v>
                </c:pt>
                <c:pt idx="17">
                  <c:v>0</c:v>
                </c:pt>
                <c:pt idx="18">
                  <c:v>20</c:v>
                </c:pt>
                <c:pt idx="19">
                  <c:v>9</c:v>
                </c:pt>
                <c:pt idx="20">
                  <c:v>0</c:v>
                </c:pt>
                <c:pt idx="21">
                  <c:v>6</c:v>
                </c:pt>
                <c:pt idx="22">
                  <c:v>2</c:v>
                </c:pt>
                <c:pt idx="23">
                  <c:v>6</c:v>
                </c:pt>
              </c:numCache>
            </c:numRef>
          </c:val>
        </c:ser>
        <c:overlap val="-25"/>
        <c:gapWidth val="75"/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690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Количество победителей и призеров школьного этапа  ВсОШ 2019-2020
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15675"/>
          <c:w val="0.8907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Отчет!$G$12</c:f>
              <c:strCache>
                <c:ptCount val="1"/>
                <c:pt idx="0">
                  <c:v>Призеры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Отчет!$B$14:$B$37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Отчет!$G$14:$G$37</c:f>
              <c:numCache>
                <c:ptCount val="24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6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Отчет!$H$12</c:f>
              <c:strCache>
                <c:ptCount val="1"/>
                <c:pt idx="0">
                  <c:v>Победители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Отчет!$B$14:$B$37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Отчет!$H$14:$H$37</c:f>
              <c:numCach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70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5"/>
          <c:w val="0.09625"/>
          <c:h val="0.1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Школьный этап ВОсШ 2019-2020 уч.год   </a:t>
            </a:r>
          </a:p>
        </c:rich>
      </c:tx>
      <c:layout>
        <c:manualLayout>
          <c:xMode val="factor"/>
          <c:yMode val="factor"/>
          <c:x val="-0.0422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08925"/>
          <c:w val="0.9337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Параллель!$C$1</c:f>
              <c:strCache>
                <c:ptCount val="1"/>
                <c:pt idx="0">
                  <c:v>4 кл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Параллель!$C$2:$C$25</c:f>
              <c:numCache>
                <c:ptCount val="24"/>
                <c:pt idx="11">
                  <c:v>34</c:v>
                </c:pt>
                <c:pt idx="16">
                  <c:v>32</c:v>
                </c:pt>
              </c:numCache>
            </c:numRef>
          </c:val>
        </c:ser>
        <c:ser>
          <c:idx val="7"/>
          <c:order val="1"/>
          <c:tx>
            <c:strRef>
              <c:f>Параллель!$D$1</c:f>
              <c:strCache>
                <c:ptCount val="1"/>
                <c:pt idx="0">
                  <c:v>5 кл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Параллель!$D$2:$D$25</c:f>
              <c:numCache>
                <c:ptCount val="24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</c:v>
                </c:pt>
                <c:pt idx="11">
                  <c:v>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2"/>
          <c:tx>
            <c:strRef>
              <c:f>Параллель!$E$1</c:f>
              <c:strCache>
                <c:ptCount val="1"/>
                <c:pt idx="0">
                  <c:v>6 кл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Параллель!$E$2:$E$25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3"/>
          <c:tx>
            <c:strRef>
              <c:f>Параллель!$F$1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Параллель!$F$2:$F$25</c:f>
              <c:numCache>
                <c:ptCount val="24"/>
                <c:pt idx="0">
                  <c:v>12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14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4"/>
          <c:tx>
            <c:strRef>
              <c:f>Параллель!$G$1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Параллель!$G$2:$G$25</c:f>
              <c:numCache>
                <c:ptCount val="2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5"/>
          <c:tx>
            <c:strRef>
              <c:f>Параллель!$H$1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Параллель!$H$2:$H$25</c:f>
              <c:numCache>
                <c:ptCount val="24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6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6"/>
          <c:tx>
            <c:strRef>
              <c:f>Параллель!$I$1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Параллель!$I$2:$I$25</c:f>
              <c:numCache>
                <c:ptCount val="24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7</c:v>
                </c:pt>
                <c:pt idx="14">
                  <c:v>12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6"/>
          <c:order val="7"/>
          <c:tx>
            <c:strRef>
              <c:f>Параллель!$J$1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Параллель!$J$2:$J$25</c:f>
              <c:numCache>
                <c:ptCount val="2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14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25"/>
          <c:y val="0.24925"/>
          <c:w val="0.052"/>
          <c:h val="0.5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285750</xdr:colOff>
      <xdr:row>20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7143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114300</xdr:rowOff>
    </xdr:from>
    <xdr:to>
      <xdr:col>13</xdr:col>
      <xdr:colOff>628650</xdr:colOff>
      <xdr:row>38</xdr:row>
      <xdr:rowOff>104775</xdr:rowOff>
    </xdr:to>
    <xdr:graphicFrame>
      <xdr:nvGraphicFramePr>
        <xdr:cNvPr id="2" name="Диаграмма 2"/>
        <xdr:cNvGraphicFramePr/>
      </xdr:nvGraphicFramePr>
      <xdr:xfrm>
        <a:off x="0" y="3352800"/>
        <a:ext cx="95440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0</xdr:row>
      <xdr:rowOff>0</xdr:rowOff>
    </xdr:from>
    <xdr:to>
      <xdr:col>25</xdr:col>
      <xdr:colOff>133350</xdr:colOff>
      <xdr:row>18</xdr:row>
      <xdr:rowOff>114300</xdr:rowOff>
    </xdr:to>
    <xdr:graphicFrame>
      <xdr:nvGraphicFramePr>
        <xdr:cNvPr id="3" name="Диаграмма 1"/>
        <xdr:cNvGraphicFramePr/>
      </xdr:nvGraphicFramePr>
      <xdr:xfrm>
        <a:off x="7286625" y="0"/>
        <a:ext cx="99917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20.875" style="0" customWidth="1"/>
    <col min="2" max="2" width="13.00390625" style="0" customWidth="1"/>
    <col min="3" max="4" width="8.375" style="0" customWidth="1"/>
    <col min="5" max="5" width="9.375" style="0" customWidth="1"/>
  </cols>
  <sheetData>
    <row r="1" spans="1:10" ht="24" customHeight="1" thickBot="1">
      <c r="A1" s="60" t="s">
        <v>54</v>
      </c>
      <c r="B1" s="91" t="s">
        <v>60</v>
      </c>
      <c r="C1" s="90" t="s">
        <v>93</v>
      </c>
      <c r="D1" s="90" t="s">
        <v>70</v>
      </c>
      <c r="E1" s="90" t="s">
        <v>94</v>
      </c>
      <c r="F1" s="90" t="s">
        <v>71</v>
      </c>
      <c r="G1" s="90" t="s">
        <v>72</v>
      </c>
      <c r="H1" s="90" t="s">
        <v>73</v>
      </c>
      <c r="I1" s="90" t="s">
        <v>74</v>
      </c>
      <c r="J1" s="90" t="s">
        <v>75</v>
      </c>
    </row>
    <row r="2" spans="1:10" ht="12.75">
      <c r="A2" s="61" t="s">
        <v>62</v>
      </c>
      <c r="B2" s="84">
        <f aca="true" t="shared" si="0" ref="B2:B25">SUM(C2:J2)</f>
        <v>32</v>
      </c>
      <c r="C2" s="127"/>
      <c r="D2" s="127">
        <f aca="true" ca="1" t="shared" si="1" ref="D2:D25">COUNTIF(INDIRECT($A2&amp;"!$h$2:$h$1000"),"5")</f>
        <v>4</v>
      </c>
      <c r="E2" s="127">
        <f aca="true" ca="1" t="shared" si="2" ref="E2:E25">COUNTIF(INDIRECT($A2&amp;"!$h$2:$h$1000"),"6")</f>
        <v>0</v>
      </c>
      <c r="F2" s="127">
        <f aca="true" ca="1" t="shared" si="3" ref="F2:F25">COUNTIF(INDIRECT($A2&amp;"!$h$2:$h$1000"),"7")</f>
        <v>12</v>
      </c>
      <c r="G2" s="127">
        <f aca="true" ca="1" t="shared" si="4" ref="G2:G25">COUNTIF(INDIRECT($A2&amp;"!$h$2:$h$1000"),"8")</f>
        <v>2</v>
      </c>
      <c r="H2" s="127">
        <f aca="true" ca="1" t="shared" si="5" ref="H2:H25">COUNTIF(INDIRECT($A2&amp;"!$h$2:$h$1000"),"9")</f>
        <v>4</v>
      </c>
      <c r="I2" s="127">
        <f aca="true" ca="1" t="shared" si="6" ref="I2:I25">COUNTIF(INDIRECT($A2&amp;"!$h$2:$h$1000"),"10")</f>
        <v>5</v>
      </c>
      <c r="J2" s="127">
        <f aca="true" ca="1" t="shared" si="7" ref="J2:J25">COUNTIF(INDIRECT($A2&amp;"!$h$2:$h$1000"),"11")</f>
        <v>5</v>
      </c>
    </row>
    <row r="3" spans="1:10" ht="12.75">
      <c r="A3" s="62" t="s">
        <v>19</v>
      </c>
      <c r="B3" s="84">
        <f t="shared" si="0"/>
        <v>3</v>
      </c>
      <c r="C3" s="128"/>
      <c r="D3" s="128">
        <f ca="1" t="shared" si="1"/>
        <v>0</v>
      </c>
      <c r="E3" s="128">
        <f ca="1" t="shared" si="2"/>
        <v>0</v>
      </c>
      <c r="F3" s="128">
        <f ca="1" t="shared" si="3"/>
        <v>0</v>
      </c>
      <c r="G3" s="128">
        <f ca="1" t="shared" si="4"/>
        <v>0</v>
      </c>
      <c r="H3" s="128">
        <f ca="1" t="shared" si="5"/>
        <v>0</v>
      </c>
      <c r="I3" s="128">
        <f ca="1" t="shared" si="6"/>
        <v>3</v>
      </c>
      <c r="J3" s="128">
        <f ca="1" t="shared" si="7"/>
        <v>0</v>
      </c>
    </row>
    <row r="4" spans="1:10" ht="12.75">
      <c r="A4" s="62" t="s">
        <v>12</v>
      </c>
      <c r="B4" s="84">
        <f t="shared" si="0"/>
        <v>17</v>
      </c>
      <c r="C4" s="128"/>
      <c r="D4" s="128">
        <f ca="1" t="shared" si="1"/>
        <v>4</v>
      </c>
      <c r="E4" s="128">
        <f ca="1" t="shared" si="2"/>
        <v>0</v>
      </c>
      <c r="F4" s="128">
        <f ca="1" t="shared" si="3"/>
        <v>5</v>
      </c>
      <c r="G4" s="128">
        <f ca="1" t="shared" si="4"/>
        <v>0</v>
      </c>
      <c r="H4" s="128">
        <f ca="1" t="shared" si="5"/>
        <v>3</v>
      </c>
      <c r="I4" s="128">
        <f ca="1" t="shared" si="6"/>
        <v>2</v>
      </c>
      <c r="J4" s="128">
        <f ca="1" t="shared" si="7"/>
        <v>3</v>
      </c>
    </row>
    <row r="5" spans="1:10" ht="12.75">
      <c r="A5" s="62" t="s">
        <v>24</v>
      </c>
      <c r="B5" s="84">
        <f t="shared" si="0"/>
        <v>9</v>
      </c>
      <c r="C5" s="128"/>
      <c r="D5" s="128">
        <f ca="1" t="shared" si="1"/>
        <v>0</v>
      </c>
      <c r="E5" s="128">
        <f ca="1" t="shared" si="2"/>
        <v>0</v>
      </c>
      <c r="F5" s="128">
        <f ca="1" t="shared" si="3"/>
        <v>3</v>
      </c>
      <c r="G5" s="128">
        <f ca="1" t="shared" si="4"/>
        <v>0</v>
      </c>
      <c r="H5" s="128">
        <f ca="1" t="shared" si="5"/>
        <v>6</v>
      </c>
      <c r="I5" s="128">
        <f ca="1" t="shared" si="6"/>
        <v>0</v>
      </c>
      <c r="J5" s="128">
        <f ca="1" t="shared" si="7"/>
        <v>0</v>
      </c>
    </row>
    <row r="6" spans="1:10" ht="12.75">
      <c r="A6" s="62" t="s">
        <v>56</v>
      </c>
      <c r="B6" s="84">
        <f t="shared" si="0"/>
        <v>0</v>
      </c>
      <c r="C6" s="128"/>
      <c r="D6" s="128">
        <f ca="1" t="shared" si="1"/>
        <v>0</v>
      </c>
      <c r="E6" s="128">
        <f ca="1" t="shared" si="2"/>
        <v>0</v>
      </c>
      <c r="F6" s="128">
        <f ca="1" t="shared" si="3"/>
        <v>0</v>
      </c>
      <c r="G6" s="128">
        <f ca="1" t="shared" si="4"/>
        <v>0</v>
      </c>
      <c r="H6" s="128">
        <f ca="1" t="shared" si="5"/>
        <v>0</v>
      </c>
      <c r="I6" s="128">
        <f ca="1" t="shared" si="6"/>
        <v>0</v>
      </c>
      <c r="J6" s="128">
        <f ca="1" t="shared" si="7"/>
        <v>0</v>
      </c>
    </row>
    <row r="7" spans="1:10" ht="12.75">
      <c r="A7" s="62" t="s">
        <v>55</v>
      </c>
      <c r="B7" s="84">
        <f t="shared" si="0"/>
        <v>0</v>
      </c>
      <c r="C7" s="128"/>
      <c r="D7" s="128">
        <f ca="1" t="shared" si="1"/>
        <v>0</v>
      </c>
      <c r="E7" s="128">
        <f ca="1" t="shared" si="2"/>
        <v>0</v>
      </c>
      <c r="F7" s="128">
        <f ca="1" t="shared" si="3"/>
        <v>0</v>
      </c>
      <c r="G7" s="128">
        <f ca="1" t="shared" si="4"/>
        <v>0</v>
      </c>
      <c r="H7" s="128">
        <f ca="1" t="shared" si="5"/>
        <v>0</v>
      </c>
      <c r="I7" s="128">
        <f ca="1" t="shared" si="6"/>
        <v>0</v>
      </c>
      <c r="J7" s="128">
        <f ca="1" t="shared" si="7"/>
        <v>0</v>
      </c>
    </row>
    <row r="8" spans="1:10" ht="12.75">
      <c r="A8" s="62" t="s">
        <v>115</v>
      </c>
      <c r="B8" s="84">
        <f>SUM(C8:J8)</f>
        <v>0</v>
      </c>
      <c r="C8" s="128"/>
      <c r="D8" s="128">
        <f ca="1" t="shared" si="1"/>
        <v>0</v>
      </c>
      <c r="E8" s="128">
        <f ca="1" t="shared" si="2"/>
        <v>0</v>
      </c>
      <c r="F8" s="128">
        <f ca="1" t="shared" si="3"/>
        <v>0</v>
      </c>
      <c r="G8" s="128">
        <f ca="1" t="shared" si="4"/>
        <v>0</v>
      </c>
      <c r="H8" s="128">
        <f ca="1" t="shared" si="5"/>
        <v>0</v>
      </c>
      <c r="I8" s="128">
        <f ca="1" t="shared" si="6"/>
        <v>0</v>
      </c>
      <c r="J8" s="128">
        <f ca="1" t="shared" si="7"/>
        <v>0</v>
      </c>
    </row>
    <row r="9" spans="1:10" ht="12.75">
      <c r="A9" s="62" t="s">
        <v>25</v>
      </c>
      <c r="B9" s="84">
        <f t="shared" si="0"/>
        <v>7</v>
      </c>
      <c r="C9" s="128"/>
      <c r="D9" s="128">
        <f ca="1" t="shared" si="1"/>
        <v>0</v>
      </c>
      <c r="E9" s="128">
        <f ca="1" t="shared" si="2"/>
        <v>0</v>
      </c>
      <c r="F9" s="128">
        <f ca="1" t="shared" si="3"/>
        <v>0</v>
      </c>
      <c r="G9" s="128">
        <f ca="1" t="shared" si="4"/>
        <v>1</v>
      </c>
      <c r="H9" s="128">
        <f ca="1" t="shared" si="5"/>
        <v>5</v>
      </c>
      <c r="I9" s="128">
        <f ca="1" t="shared" si="6"/>
        <v>0</v>
      </c>
      <c r="J9" s="128">
        <f ca="1" t="shared" si="7"/>
        <v>1</v>
      </c>
    </row>
    <row r="10" spans="1:10" ht="12.75">
      <c r="A10" s="62" t="s">
        <v>87</v>
      </c>
      <c r="B10" s="84">
        <f t="shared" si="0"/>
        <v>0</v>
      </c>
      <c r="C10" s="128"/>
      <c r="D10" s="128">
        <f ca="1" t="shared" si="1"/>
        <v>0</v>
      </c>
      <c r="E10" s="128">
        <f ca="1" t="shared" si="2"/>
        <v>0</v>
      </c>
      <c r="F10" s="128">
        <f ca="1" t="shared" si="3"/>
        <v>0</v>
      </c>
      <c r="G10" s="128">
        <f ca="1" t="shared" si="4"/>
        <v>0</v>
      </c>
      <c r="H10" s="128">
        <f ca="1" t="shared" si="5"/>
        <v>0</v>
      </c>
      <c r="I10" s="128">
        <f ca="1" t="shared" si="6"/>
        <v>0</v>
      </c>
      <c r="J10" s="128">
        <f ca="1" t="shared" si="7"/>
        <v>0</v>
      </c>
    </row>
    <row r="11" spans="1:10" ht="12.75">
      <c r="A11" s="62" t="s">
        <v>88</v>
      </c>
      <c r="B11" s="84">
        <f t="shared" si="0"/>
        <v>1</v>
      </c>
      <c r="C11" s="128"/>
      <c r="D11" s="128">
        <f ca="1" t="shared" si="1"/>
        <v>0</v>
      </c>
      <c r="E11" s="128">
        <f ca="1" t="shared" si="2"/>
        <v>0</v>
      </c>
      <c r="F11" s="128">
        <f ca="1" t="shared" si="3"/>
        <v>1</v>
      </c>
      <c r="G11" s="128">
        <f ca="1" t="shared" si="4"/>
        <v>0</v>
      </c>
      <c r="H11" s="128">
        <f ca="1" t="shared" si="5"/>
        <v>0</v>
      </c>
      <c r="I11" s="128">
        <f ca="1" t="shared" si="6"/>
        <v>0</v>
      </c>
      <c r="J11" s="128">
        <f ca="1" t="shared" si="7"/>
        <v>0</v>
      </c>
    </row>
    <row r="12" spans="1:10" ht="12.75">
      <c r="A12" s="62" t="s">
        <v>22</v>
      </c>
      <c r="B12" s="84">
        <f t="shared" si="0"/>
        <v>26</v>
      </c>
      <c r="C12" s="128"/>
      <c r="D12" s="128">
        <f ca="1" t="shared" si="1"/>
        <v>11</v>
      </c>
      <c r="E12" s="128">
        <f ca="1" t="shared" si="2"/>
        <v>3</v>
      </c>
      <c r="F12" s="128">
        <f ca="1" t="shared" si="3"/>
        <v>3</v>
      </c>
      <c r="G12" s="128">
        <f ca="1" t="shared" si="4"/>
        <v>2</v>
      </c>
      <c r="H12" s="128">
        <f ca="1" t="shared" si="5"/>
        <v>2</v>
      </c>
      <c r="I12" s="128">
        <f ca="1" t="shared" si="6"/>
        <v>5</v>
      </c>
      <c r="J12" s="128">
        <f ca="1" t="shared" si="7"/>
        <v>0</v>
      </c>
    </row>
    <row r="13" spans="1:10" ht="12.75">
      <c r="A13" s="62" t="s">
        <v>10</v>
      </c>
      <c r="B13" s="84">
        <f t="shared" si="0"/>
        <v>63</v>
      </c>
      <c r="C13" s="128">
        <f ca="1">COUNTIF(INDIRECT($A13&amp;"!$h$2:$h$1000"),"4")</f>
        <v>34</v>
      </c>
      <c r="D13" s="128">
        <f ca="1" t="shared" si="1"/>
        <v>11</v>
      </c>
      <c r="E13" s="128">
        <f ca="1" t="shared" si="2"/>
        <v>3</v>
      </c>
      <c r="F13" s="128">
        <f ca="1" t="shared" si="3"/>
        <v>5</v>
      </c>
      <c r="G13" s="128">
        <f ca="1" t="shared" si="4"/>
        <v>3</v>
      </c>
      <c r="H13" s="128">
        <f ca="1" t="shared" si="5"/>
        <v>1</v>
      </c>
      <c r="I13" s="128">
        <f ca="1" t="shared" si="6"/>
        <v>3</v>
      </c>
      <c r="J13" s="128">
        <f ca="1" t="shared" si="7"/>
        <v>3</v>
      </c>
    </row>
    <row r="14" spans="1:10" ht="12.75">
      <c r="A14" s="62" t="s">
        <v>65</v>
      </c>
      <c r="B14" s="84">
        <f t="shared" si="0"/>
        <v>0</v>
      </c>
      <c r="C14" s="128"/>
      <c r="D14" s="128">
        <f ca="1" t="shared" si="1"/>
        <v>0</v>
      </c>
      <c r="E14" s="128">
        <f ca="1" t="shared" si="2"/>
        <v>0</v>
      </c>
      <c r="F14" s="128">
        <f ca="1" t="shared" si="3"/>
        <v>0</v>
      </c>
      <c r="G14" s="128">
        <f ca="1" t="shared" si="4"/>
        <v>0</v>
      </c>
      <c r="H14" s="128">
        <f ca="1" t="shared" si="5"/>
        <v>0</v>
      </c>
      <c r="I14" s="128">
        <f ca="1" t="shared" si="6"/>
        <v>0</v>
      </c>
      <c r="J14" s="128">
        <f ca="1" t="shared" si="7"/>
        <v>0</v>
      </c>
    </row>
    <row r="15" spans="1:10" ht="12.75">
      <c r="A15" s="62" t="s">
        <v>57</v>
      </c>
      <c r="B15" s="84">
        <f t="shared" si="0"/>
        <v>7</v>
      </c>
      <c r="C15" s="128"/>
      <c r="D15" s="128">
        <f ca="1" t="shared" si="1"/>
        <v>0</v>
      </c>
      <c r="E15" s="128">
        <f ca="1" t="shared" si="2"/>
        <v>0</v>
      </c>
      <c r="F15" s="128">
        <f ca="1" t="shared" si="3"/>
        <v>0</v>
      </c>
      <c r="G15" s="128">
        <f ca="1" t="shared" si="4"/>
        <v>0</v>
      </c>
      <c r="H15" s="128">
        <f ca="1" t="shared" si="5"/>
        <v>0</v>
      </c>
      <c r="I15" s="128">
        <f ca="1" t="shared" si="6"/>
        <v>7</v>
      </c>
      <c r="J15" s="128">
        <f ca="1" t="shared" si="7"/>
        <v>0</v>
      </c>
    </row>
    <row r="16" spans="1:10" ht="12.75">
      <c r="A16" s="62" t="s">
        <v>45</v>
      </c>
      <c r="B16" s="84">
        <f t="shared" si="0"/>
        <v>46</v>
      </c>
      <c r="C16" s="128"/>
      <c r="D16" s="128">
        <f ca="1" t="shared" si="1"/>
        <v>0</v>
      </c>
      <c r="E16" s="128">
        <f ca="1" t="shared" si="2"/>
        <v>0</v>
      </c>
      <c r="F16" s="128">
        <f ca="1" t="shared" si="3"/>
        <v>14</v>
      </c>
      <c r="G16" s="128">
        <f ca="1" t="shared" si="4"/>
        <v>9</v>
      </c>
      <c r="H16" s="128">
        <f ca="1" t="shared" si="5"/>
        <v>6</v>
      </c>
      <c r="I16" s="128">
        <f ca="1" t="shared" si="6"/>
        <v>12</v>
      </c>
      <c r="J16" s="128">
        <f ca="1" t="shared" si="7"/>
        <v>5</v>
      </c>
    </row>
    <row r="17" spans="1:10" ht="12.75">
      <c r="A17" s="62" t="s">
        <v>18</v>
      </c>
      <c r="B17" s="84">
        <f t="shared" si="0"/>
        <v>8</v>
      </c>
      <c r="C17" s="128"/>
      <c r="D17" s="128">
        <f ca="1" t="shared" si="1"/>
        <v>0</v>
      </c>
      <c r="E17" s="128">
        <f ca="1" t="shared" si="2"/>
        <v>0</v>
      </c>
      <c r="F17" s="128">
        <f ca="1" t="shared" si="3"/>
        <v>0</v>
      </c>
      <c r="G17" s="128">
        <f ca="1" t="shared" si="4"/>
        <v>0</v>
      </c>
      <c r="H17" s="128">
        <f ca="1" t="shared" si="5"/>
        <v>0</v>
      </c>
      <c r="I17" s="128">
        <f ca="1" t="shared" si="6"/>
        <v>6</v>
      </c>
      <c r="J17" s="128">
        <f ca="1" t="shared" si="7"/>
        <v>2</v>
      </c>
    </row>
    <row r="18" spans="1:10" ht="12.75">
      <c r="A18" s="62" t="s">
        <v>63</v>
      </c>
      <c r="B18" s="84">
        <f t="shared" si="0"/>
        <v>66</v>
      </c>
      <c r="C18" s="128">
        <f ca="1">COUNTIF(INDIRECT($A18&amp;"!$h$2:$h$1000"),"4")</f>
        <v>32</v>
      </c>
      <c r="D18" s="128">
        <f ca="1" t="shared" si="1"/>
        <v>5</v>
      </c>
      <c r="E18" s="128">
        <f ca="1" t="shared" si="2"/>
        <v>7</v>
      </c>
      <c r="F18" s="128">
        <f ca="1" t="shared" si="3"/>
        <v>12</v>
      </c>
      <c r="G18" s="128">
        <f ca="1" t="shared" si="4"/>
        <v>1</v>
      </c>
      <c r="H18" s="128">
        <f ca="1" t="shared" si="5"/>
        <v>4</v>
      </c>
      <c r="I18" s="128">
        <f ca="1" t="shared" si="6"/>
        <v>3</v>
      </c>
      <c r="J18" s="128">
        <f ca="1" t="shared" si="7"/>
        <v>2</v>
      </c>
    </row>
    <row r="19" spans="1:10" ht="12.75">
      <c r="A19" s="62" t="s">
        <v>16</v>
      </c>
      <c r="B19" s="84">
        <f t="shared" si="0"/>
        <v>0</v>
      </c>
      <c r="C19" s="128"/>
      <c r="D19" s="128">
        <f ca="1" t="shared" si="1"/>
        <v>0</v>
      </c>
      <c r="E19" s="128">
        <f ca="1" t="shared" si="2"/>
        <v>0</v>
      </c>
      <c r="F19" s="128">
        <f ca="1" t="shared" si="3"/>
        <v>0</v>
      </c>
      <c r="G19" s="128">
        <f ca="1" t="shared" si="4"/>
        <v>0</v>
      </c>
      <c r="H19" s="128">
        <f ca="1" t="shared" si="5"/>
        <v>0</v>
      </c>
      <c r="I19" s="128">
        <f ca="1" t="shared" si="6"/>
        <v>0</v>
      </c>
      <c r="J19" s="128">
        <f ca="1" t="shared" si="7"/>
        <v>0</v>
      </c>
    </row>
    <row r="20" spans="1:10" ht="12.75">
      <c r="A20" s="62" t="s">
        <v>11</v>
      </c>
      <c r="B20" s="84">
        <f t="shared" si="0"/>
        <v>20</v>
      </c>
      <c r="C20" s="128"/>
      <c r="D20" s="128">
        <f ca="1" t="shared" si="1"/>
        <v>0</v>
      </c>
      <c r="E20" s="128">
        <f ca="1" t="shared" si="2"/>
        <v>0</v>
      </c>
      <c r="F20" s="128">
        <f ca="1" t="shared" si="3"/>
        <v>5</v>
      </c>
      <c r="G20" s="128">
        <f ca="1" t="shared" si="4"/>
        <v>8</v>
      </c>
      <c r="H20" s="128">
        <f ca="1" t="shared" si="5"/>
        <v>5</v>
      </c>
      <c r="I20" s="128">
        <f ca="1" t="shared" si="6"/>
        <v>2</v>
      </c>
      <c r="J20" s="128">
        <f ca="1" t="shared" si="7"/>
        <v>0</v>
      </c>
    </row>
    <row r="21" spans="1:10" ht="12.75">
      <c r="A21" s="62" t="s">
        <v>64</v>
      </c>
      <c r="B21" s="84">
        <f t="shared" si="0"/>
        <v>9</v>
      </c>
      <c r="C21" s="128"/>
      <c r="D21" s="128">
        <f ca="1" t="shared" si="1"/>
        <v>0</v>
      </c>
      <c r="E21" s="128">
        <f ca="1" t="shared" si="2"/>
        <v>0</v>
      </c>
      <c r="F21" s="128">
        <f ca="1" t="shared" si="3"/>
        <v>0</v>
      </c>
      <c r="G21" s="128">
        <f ca="1" t="shared" si="4"/>
        <v>0</v>
      </c>
      <c r="H21" s="128">
        <f ca="1" t="shared" si="5"/>
        <v>6</v>
      </c>
      <c r="I21" s="128">
        <f ca="1" t="shared" si="6"/>
        <v>1</v>
      </c>
      <c r="J21" s="128">
        <f ca="1" t="shared" si="7"/>
        <v>2</v>
      </c>
    </row>
    <row r="22" spans="1:10" ht="12.75">
      <c r="A22" s="62" t="s">
        <v>66</v>
      </c>
      <c r="B22" s="84">
        <f t="shared" si="0"/>
        <v>0</v>
      </c>
      <c r="C22" s="128"/>
      <c r="D22" s="128">
        <f ca="1" t="shared" si="1"/>
        <v>0</v>
      </c>
      <c r="E22" s="128">
        <f ca="1" t="shared" si="2"/>
        <v>0</v>
      </c>
      <c r="F22" s="128">
        <f ca="1" t="shared" si="3"/>
        <v>0</v>
      </c>
      <c r="G22" s="128">
        <f ca="1" t="shared" si="4"/>
        <v>0</v>
      </c>
      <c r="H22" s="128">
        <f ca="1" t="shared" si="5"/>
        <v>0</v>
      </c>
      <c r="I22" s="128">
        <f ca="1" t="shared" si="6"/>
        <v>0</v>
      </c>
      <c r="J22" s="128">
        <f ca="1" t="shared" si="7"/>
        <v>0</v>
      </c>
    </row>
    <row r="23" spans="1:10" ht="12.75">
      <c r="A23" s="62" t="s">
        <v>21</v>
      </c>
      <c r="B23" s="84">
        <f t="shared" si="0"/>
        <v>6</v>
      </c>
      <c r="C23" s="128"/>
      <c r="D23" s="128">
        <f ca="1" t="shared" si="1"/>
        <v>0</v>
      </c>
      <c r="E23" s="128">
        <f ca="1" t="shared" si="2"/>
        <v>0</v>
      </c>
      <c r="F23" s="128">
        <f ca="1" t="shared" si="3"/>
        <v>0</v>
      </c>
      <c r="G23" s="128">
        <f ca="1" t="shared" si="4"/>
        <v>2</v>
      </c>
      <c r="H23" s="128">
        <f ca="1" t="shared" si="5"/>
        <v>3</v>
      </c>
      <c r="I23" s="128">
        <f ca="1" t="shared" si="6"/>
        <v>0</v>
      </c>
      <c r="J23" s="128">
        <f ca="1" t="shared" si="7"/>
        <v>1</v>
      </c>
    </row>
    <row r="24" spans="1:10" ht="12.75">
      <c r="A24" s="62" t="s">
        <v>17</v>
      </c>
      <c r="B24" s="84">
        <f t="shared" si="0"/>
        <v>2</v>
      </c>
      <c r="C24" s="128"/>
      <c r="D24" s="128">
        <f ca="1" t="shared" si="1"/>
        <v>0</v>
      </c>
      <c r="E24" s="128">
        <f ca="1" t="shared" si="2"/>
        <v>0</v>
      </c>
      <c r="F24" s="128">
        <f ca="1" t="shared" si="3"/>
        <v>0</v>
      </c>
      <c r="G24" s="128">
        <f ca="1" t="shared" si="4"/>
        <v>0</v>
      </c>
      <c r="H24" s="128">
        <f ca="1" t="shared" si="5"/>
        <v>0</v>
      </c>
      <c r="I24" s="128">
        <f ca="1" t="shared" si="6"/>
        <v>0</v>
      </c>
      <c r="J24" s="128">
        <f ca="1" t="shared" si="7"/>
        <v>2</v>
      </c>
    </row>
    <row r="25" spans="1:10" ht="12.75">
      <c r="A25" s="62" t="s">
        <v>23</v>
      </c>
      <c r="B25" s="84">
        <f t="shared" si="0"/>
        <v>6</v>
      </c>
      <c r="C25" s="128"/>
      <c r="D25" s="128">
        <f ca="1" t="shared" si="1"/>
        <v>0</v>
      </c>
      <c r="E25" s="128">
        <f ca="1" t="shared" si="2"/>
        <v>0</v>
      </c>
      <c r="F25" s="128">
        <f ca="1" t="shared" si="3"/>
        <v>0</v>
      </c>
      <c r="G25" s="128">
        <f ca="1" t="shared" si="4"/>
        <v>0</v>
      </c>
      <c r="H25" s="128">
        <f ca="1" t="shared" si="5"/>
        <v>0</v>
      </c>
      <c r="I25" s="128">
        <f ca="1" t="shared" si="6"/>
        <v>5</v>
      </c>
      <c r="J25" s="128">
        <f ca="1" t="shared" si="7"/>
        <v>1</v>
      </c>
    </row>
    <row r="26" spans="1:12" ht="14.25">
      <c r="A26" s="66" t="s">
        <v>61</v>
      </c>
      <c r="B26" s="88">
        <f>SUM(B2:B25)</f>
        <v>328</v>
      </c>
      <c r="C26" s="88">
        <f aca="true" t="shared" si="8" ref="C26:J26">SUM(C2:C25)</f>
        <v>66</v>
      </c>
      <c r="D26" s="88">
        <f t="shared" si="8"/>
        <v>35</v>
      </c>
      <c r="E26" s="88">
        <f t="shared" si="8"/>
        <v>13</v>
      </c>
      <c r="F26" s="88">
        <f t="shared" si="8"/>
        <v>60</v>
      </c>
      <c r="G26" s="88">
        <f t="shared" si="8"/>
        <v>28</v>
      </c>
      <c r="H26" s="88">
        <f t="shared" si="8"/>
        <v>45</v>
      </c>
      <c r="I26" s="88">
        <f t="shared" si="8"/>
        <v>54</v>
      </c>
      <c r="J26" s="89">
        <f t="shared" si="8"/>
        <v>27</v>
      </c>
      <c r="K26" s="64"/>
      <c r="L26" s="65"/>
    </row>
    <row r="29" spans="1:7" ht="15">
      <c r="A29" s="140" t="s">
        <v>110</v>
      </c>
      <c r="B29" s="140"/>
      <c r="C29" s="142">
        <f>B26/Отчет!H9</f>
        <v>0.6142322097378277</v>
      </c>
      <c r="D29" s="135"/>
      <c r="E29" s="160" t="s">
        <v>113</v>
      </c>
      <c r="F29" s="135"/>
      <c r="G29" s="136"/>
    </row>
    <row r="30" spans="1:7" ht="12.75">
      <c r="A30" s="323" t="s">
        <v>107</v>
      </c>
      <c r="B30" s="141" t="s">
        <v>92</v>
      </c>
      <c r="C30" s="142">
        <f>C26/Отчет!Q9</f>
        <v>0.717391304347826</v>
      </c>
      <c r="D30" s="137"/>
      <c r="E30" s="137"/>
      <c r="F30" s="137"/>
      <c r="G30" s="138"/>
    </row>
    <row r="31" spans="1:7" ht="12.75">
      <c r="A31" s="323"/>
      <c r="B31" s="141" t="s">
        <v>30</v>
      </c>
      <c r="C31" s="143">
        <f>D26/Отчет!Y9</f>
        <v>0.4166666666666667</v>
      </c>
      <c r="D31" s="139"/>
      <c r="E31" s="139" t="s">
        <v>112</v>
      </c>
      <c r="F31" s="139"/>
      <c r="G31" s="138"/>
    </row>
    <row r="32" spans="1:7" ht="12.75">
      <c r="A32" s="323"/>
      <c r="B32" s="141" t="s">
        <v>31</v>
      </c>
      <c r="C32" s="143">
        <f>E26/Отчет!AG9</f>
        <v>0.17105263157894737</v>
      </c>
      <c r="D32" s="139"/>
      <c r="E32" s="139"/>
      <c r="F32" s="139"/>
      <c r="G32" s="138"/>
    </row>
    <row r="33" spans="1:7" ht="12.75">
      <c r="A33" s="323"/>
      <c r="B33" s="141" t="s">
        <v>32</v>
      </c>
      <c r="C33" s="143">
        <f>F26/Отчет!AO9</f>
        <v>0.6976744186046512</v>
      </c>
      <c r="D33" s="139"/>
      <c r="E33" s="139"/>
      <c r="F33" s="139"/>
      <c r="G33" s="138"/>
    </row>
    <row r="34" spans="1:7" ht="12.75">
      <c r="A34" s="323"/>
      <c r="B34" s="141" t="s">
        <v>33</v>
      </c>
      <c r="C34" s="143">
        <f>G26/Отчет!AW9</f>
        <v>0.39436619718309857</v>
      </c>
      <c r="D34" s="139"/>
      <c r="E34" s="139"/>
      <c r="F34" s="139"/>
      <c r="G34" s="138"/>
    </row>
    <row r="35" spans="1:7" ht="12.75">
      <c r="A35" s="323"/>
      <c r="B35" s="141" t="s">
        <v>34</v>
      </c>
      <c r="C35" s="143">
        <f>H26/Отчет!BE9</f>
        <v>0.5921052631578947</v>
      </c>
      <c r="D35" s="139"/>
      <c r="E35" s="139"/>
      <c r="F35" s="139"/>
      <c r="G35" s="138"/>
    </row>
    <row r="36" spans="1:7" ht="12.75">
      <c r="A36" s="323"/>
      <c r="B36" s="141" t="s">
        <v>35</v>
      </c>
      <c r="C36" s="142">
        <f>I26/Отчет!BM9</f>
        <v>2</v>
      </c>
      <c r="D36" s="137"/>
      <c r="E36" s="137"/>
      <c r="F36" s="137"/>
      <c r="G36" s="138"/>
    </row>
    <row r="37" spans="1:7" ht="12.75">
      <c r="A37" s="323"/>
      <c r="B37" s="141" t="s">
        <v>36</v>
      </c>
      <c r="C37" s="142">
        <f>J26/Отчет!BU9</f>
        <v>1.2272727272727273</v>
      </c>
      <c r="D37" s="137"/>
      <c r="E37" s="137"/>
      <c r="F37" s="137"/>
      <c r="G37" s="138"/>
    </row>
    <row r="38" spans="1:7" ht="30.75" customHeight="1">
      <c r="A38" s="324" t="s">
        <v>111</v>
      </c>
      <c r="B38" s="325"/>
      <c r="C38" s="142">
        <f>(Отчет!G38+Отчет!H38)/B26</f>
        <v>0.1524390243902439</v>
      </c>
      <c r="D38" s="135"/>
      <c r="E38" s="135"/>
      <c r="F38" s="135"/>
      <c r="G38" s="136"/>
    </row>
    <row r="39" spans="1:7" ht="12.75">
      <c r="A39" s="323" t="s">
        <v>107</v>
      </c>
      <c r="B39" s="141" t="s">
        <v>92</v>
      </c>
      <c r="C39" s="142">
        <f>(Отчет!O38+Отчет!P38)/C26</f>
        <v>0.16666666666666666</v>
      </c>
      <c r="D39" s="137"/>
      <c r="E39" s="137"/>
      <c r="F39" s="137"/>
      <c r="G39" s="138"/>
    </row>
    <row r="40" spans="1:7" ht="12.75">
      <c r="A40" s="323"/>
      <c r="B40" s="141" t="s">
        <v>30</v>
      </c>
      <c r="C40" s="142">
        <f>(Отчет!W38+Отчет!X38)/D26</f>
        <v>0.14285714285714285</v>
      </c>
      <c r="D40" s="137"/>
      <c r="E40" s="137"/>
      <c r="F40" s="137"/>
      <c r="G40" s="138"/>
    </row>
    <row r="41" spans="1:7" ht="12.75">
      <c r="A41" s="323"/>
      <c r="B41" s="141" t="s">
        <v>31</v>
      </c>
      <c r="C41" s="142">
        <f>(Отчет!AE38+Отчет!AF38)/E26</f>
        <v>0.3076923076923077</v>
      </c>
      <c r="D41" s="137"/>
      <c r="E41" s="137"/>
      <c r="F41" s="137"/>
      <c r="G41" s="138"/>
    </row>
    <row r="42" spans="1:7" ht="12.75">
      <c r="A42" s="323"/>
      <c r="B42" s="141" t="s">
        <v>32</v>
      </c>
      <c r="C42" s="142">
        <f>(Отчет!AM38+Отчет!AN38)/F26</f>
        <v>0.21666666666666667</v>
      </c>
      <c r="D42" s="137"/>
      <c r="E42" s="137"/>
      <c r="F42" s="137"/>
      <c r="G42" s="138"/>
    </row>
    <row r="43" spans="1:7" ht="12.75">
      <c r="A43" s="323"/>
      <c r="B43" s="141" t="s">
        <v>33</v>
      </c>
      <c r="C43" s="142">
        <f>(Отчет!AU38+Отчет!AV38)/G26</f>
        <v>0.03571428571428571</v>
      </c>
      <c r="D43" s="137"/>
      <c r="E43" s="137"/>
      <c r="F43" s="137"/>
      <c r="G43" s="138"/>
    </row>
    <row r="44" spans="1:7" ht="12.75">
      <c r="A44" s="323"/>
      <c r="B44" s="141" t="s">
        <v>34</v>
      </c>
      <c r="C44" s="142">
        <f>(Отчет!BC38+Отчет!BD38)/H26</f>
        <v>0.15555555555555556</v>
      </c>
      <c r="D44" s="137"/>
      <c r="E44" s="137"/>
      <c r="F44" s="137"/>
      <c r="G44" s="138"/>
    </row>
    <row r="45" spans="1:7" ht="12.75">
      <c r="A45" s="323"/>
      <c r="B45" s="141" t="s">
        <v>35</v>
      </c>
      <c r="C45" s="142">
        <f>(Отчет!BK38+Отчет!BL38)/I26</f>
        <v>0.07407407407407407</v>
      </c>
      <c r="D45" s="137"/>
      <c r="E45" s="137"/>
      <c r="F45" s="137"/>
      <c r="G45" s="138"/>
    </row>
    <row r="46" spans="1:7" ht="12.75">
      <c r="A46" s="323"/>
      <c r="B46" s="141" t="s">
        <v>36</v>
      </c>
      <c r="C46" s="142">
        <f>(Отчет!BS38+Отчет!BT38)/J26</f>
        <v>0.18518518518518517</v>
      </c>
      <c r="D46" s="137"/>
      <c r="E46" s="137"/>
      <c r="F46" s="137"/>
      <c r="G46" s="138"/>
    </row>
  </sheetData>
  <sheetProtection password="DE6B" sheet="1" formatCells="0" formatColumns="0" formatRows="0" sort="0"/>
  <protectedRanges>
    <protectedRange password="E4D7" sqref="A29:G46" name="Диапазон1"/>
  </protectedRanges>
  <mergeCells count="3">
    <mergeCell ref="A30:A37"/>
    <mergeCell ref="A39:A46"/>
    <mergeCell ref="A38:B38"/>
  </mergeCells>
  <conditionalFormatting sqref="G38:G46">
    <cfRule type="cellIs" priority="1" dxfId="31" operator="greaterThan" stopIfTrue="1">
      <formula>0.3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I8" sqref="I8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55" customWidth="1"/>
    <col min="10" max="10" width="18.25390625" style="55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0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43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6">
        <f>IF(COUNTIF(Q1:Q1000,"Введите дату рождения")&lt;&gt;0,"1","")</f>
      </c>
    </row>
    <row r="2" spans="1:18" ht="12.75">
      <c r="A2" s="42"/>
      <c r="B2" s="39"/>
      <c r="C2" s="39"/>
      <c r="D2" s="39"/>
      <c r="E2" s="42"/>
      <c r="F2" s="39" t="str">
        <f>Отчет!$C$4</f>
        <v>МБОУ СОШ № 153</v>
      </c>
      <c r="G2" s="176"/>
      <c r="H2" s="270">
        <f aca="true" t="shared" si="0" ref="H2:H20">G2</f>
        <v>0</v>
      </c>
      <c r="I2" s="39"/>
      <c r="J2" s="39"/>
      <c r="K2" s="165"/>
      <c r="L2" s="39"/>
      <c r="M2" s="4" t="e">
        <f aca="true" t="shared" si="1" ref="M2:M20">K2/L2</f>
        <v>#DIV/0!</v>
      </c>
      <c r="N2" s="39"/>
      <c r="O2" s="39"/>
      <c r="P2" s="21" t="s">
        <v>55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 t="str">
        <f>Отчет!$C$4</f>
        <v>МБОУ СОШ № 153</v>
      </c>
      <c r="G3" s="176"/>
      <c r="H3" s="270">
        <f t="shared" si="0"/>
        <v>0</v>
      </c>
      <c r="I3" s="39"/>
      <c r="J3" s="39"/>
      <c r="K3" s="165"/>
      <c r="L3" s="39"/>
      <c r="M3" s="4" t="e">
        <f t="shared" si="1"/>
        <v>#DIV/0!</v>
      </c>
      <c r="N3" s="39"/>
      <c r="O3" s="39"/>
      <c r="P3" s="21" t="s">
        <v>55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>
      <c r="A4" s="166"/>
      <c r="B4" s="21"/>
      <c r="C4" s="39"/>
      <c r="D4" s="39"/>
      <c r="E4" s="42"/>
      <c r="F4" s="39" t="str">
        <f>Отчет!$C$4</f>
        <v>МБОУ СОШ № 153</v>
      </c>
      <c r="G4" s="176"/>
      <c r="H4" s="270">
        <f t="shared" si="0"/>
        <v>0</v>
      </c>
      <c r="I4" s="39"/>
      <c r="J4" s="39"/>
      <c r="K4" s="165"/>
      <c r="L4" s="39"/>
      <c r="M4" s="4" t="e">
        <f t="shared" si="1"/>
        <v>#DIV/0!</v>
      </c>
      <c r="N4" s="39"/>
      <c r="O4" s="39"/>
      <c r="P4" s="21" t="s">
        <v>55</v>
      </c>
      <c r="Q4" s="134">
        <f t="shared" si="2"/>
      </c>
      <c r="R4" s="271">
        <f>Отчет!$Q$4</f>
        <v>937015</v>
      </c>
    </row>
    <row r="5" spans="1:18" ht="12.75">
      <c r="A5" s="166"/>
      <c r="B5" s="21"/>
      <c r="C5" s="39"/>
      <c r="D5" s="39"/>
      <c r="E5" s="42"/>
      <c r="F5" s="39" t="str">
        <f>Отчет!$C$4</f>
        <v>МБОУ СОШ № 153</v>
      </c>
      <c r="G5" s="176"/>
      <c r="H5" s="270">
        <f t="shared" si="0"/>
        <v>0</v>
      </c>
      <c r="I5" s="39"/>
      <c r="J5" s="39"/>
      <c r="K5" s="165"/>
      <c r="L5" s="39"/>
      <c r="M5" s="4" t="e">
        <f t="shared" si="1"/>
        <v>#DIV/0!</v>
      </c>
      <c r="N5" s="39"/>
      <c r="O5" s="39"/>
      <c r="P5" s="21" t="s">
        <v>55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 t="str">
        <f>Отчет!$C$4</f>
        <v>МБОУ СОШ № 153</v>
      </c>
      <c r="G6" s="176"/>
      <c r="H6" s="270">
        <f t="shared" si="0"/>
        <v>0</v>
      </c>
      <c r="I6" s="39"/>
      <c r="J6" s="39"/>
      <c r="K6" s="165"/>
      <c r="L6" s="39"/>
      <c r="M6" s="4" t="e">
        <f t="shared" si="1"/>
        <v>#DIV/0!</v>
      </c>
      <c r="N6" s="39"/>
      <c r="O6" s="39"/>
      <c r="P6" s="21" t="s">
        <v>55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 t="str">
        <f>Отчет!$C$4</f>
        <v>МБОУ СОШ № 153</v>
      </c>
      <c r="G7" s="176"/>
      <c r="H7" s="270">
        <f t="shared" si="0"/>
        <v>0</v>
      </c>
      <c r="I7" s="39"/>
      <c r="J7" s="39"/>
      <c r="K7" s="165"/>
      <c r="L7" s="39"/>
      <c r="M7" s="4" t="e">
        <f t="shared" si="1"/>
        <v>#DIV/0!</v>
      </c>
      <c r="N7" s="39"/>
      <c r="O7" s="39"/>
      <c r="P7" s="21" t="s">
        <v>55</v>
      </c>
      <c r="Q7" s="134">
        <f t="shared" si="2"/>
      </c>
      <c r="R7" s="271">
        <f>Отчет!$Q$4</f>
        <v>937015</v>
      </c>
    </row>
    <row r="8" spans="1:18" ht="12.75">
      <c r="A8" s="166"/>
      <c r="B8" s="21"/>
      <c r="C8" s="39"/>
      <c r="D8" s="39"/>
      <c r="E8" s="42"/>
      <c r="F8" s="39" t="str">
        <f>Отчет!$C$4</f>
        <v>МБОУ СОШ № 153</v>
      </c>
      <c r="G8" s="176"/>
      <c r="H8" s="270">
        <f t="shared" si="0"/>
        <v>0</v>
      </c>
      <c r="I8" s="39"/>
      <c r="J8" s="39"/>
      <c r="K8" s="165"/>
      <c r="L8" s="39"/>
      <c r="M8" s="4" t="e">
        <f t="shared" si="1"/>
        <v>#DIV/0!</v>
      </c>
      <c r="N8" s="39"/>
      <c r="O8" s="39"/>
      <c r="P8" s="21" t="s">
        <v>55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 t="str">
        <f>Отчет!$C$4</f>
        <v>МБОУ СОШ № 153</v>
      </c>
      <c r="G9" s="176"/>
      <c r="H9" s="270">
        <f t="shared" si="0"/>
        <v>0</v>
      </c>
      <c r="I9" s="39"/>
      <c r="J9" s="39"/>
      <c r="K9" s="165"/>
      <c r="L9" s="39"/>
      <c r="M9" s="4" t="e">
        <f t="shared" si="1"/>
        <v>#DIV/0!</v>
      </c>
      <c r="N9" s="39"/>
      <c r="O9" s="39"/>
      <c r="P9" s="21" t="s">
        <v>55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 t="str">
        <f>Отчет!$C$4</f>
        <v>МБОУ СОШ № 153</v>
      </c>
      <c r="G10" s="176"/>
      <c r="H10" s="270">
        <f t="shared" si="0"/>
        <v>0</v>
      </c>
      <c r="I10" s="39"/>
      <c r="J10" s="39"/>
      <c r="K10" s="165"/>
      <c r="L10" s="39"/>
      <c r="M10" s="4" t="e">
        <f t="shared" si="1"/>
        <v>#DIV/0!</v>
      </c>
      <c r="N10" s="39"/>
      <c r="O10" s="39"/>
      <c r="P10" s="21" t="s">
        <v>55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 t="str">
        <f>Отчет!$C$4</f>
        <v>МБОУ СОШ № 153</v>
      </c>
      <c r="G11" s="176"/>
      <c r="H11" s="270">
        <f t="shared" si="0"/>
        <v>0</v>
      </c>
      <c r="I11" s="39"/>
      <c r="J11" s="39"/>
      <c r="K11" s="165"/>
      <c r="L11" s="39"/>
      <c r="M11" s="4" t="e">
        <f t="shared" si="1"/>
        <v>#DIV/0!</v>
      </c>
      <c r="N11" s="39"/>
      <c r="O11" s="39"/>
      <c r="P11" s="21" t="s">
        <v>55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 t="str">
        <f>Отчет!$C$4</f>
        <v>МБОУ СОШ № 153</v>
      </c>
      <c r="G12" s="176"/>
      <c r="H12" s="270">
        <f t="shared" si="0"/>
        <v>0</v>
      </c>
      <c r="I12" s="39"/>
      <c r="J12" s="39"/>
      <c r="K12" s="165"/>
      <c r="L12" s="39"/>
      <c r="M12" s="4" t="e">
        <f t="shared" si="1"/>
        <v>#DIV/0!</v>
      </c>
      <c r="N12" s="39"/>
      <c r="O12" s="39"/>
      <c r="P12" s="21" t="s">
        <v>55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 t="str">
        <f>Отчет!$C$4</f>
        <v>МБОУ СОШ № 153</v>
      </c>
      <c r="G13" s="176"/>
      <c r="H13" s="270">
        <f t="shared" si="0"/>
        <v>0</v>
      </c>
      <c r="I13" s="39"/>
      <c r="J13" s="39"/>
      <c r="K13" s="165"/>
      <c r="L13" s="39"/>
      <c r="M13" s="4" t="e">
        <f t="shared" si="1"/>
        <v>#DIV/0!</v>
      </c>
      <c r="N13" s="39"/>
      <c r="O13" s="39"/>
      <c r="P13" s="21" t="s">
        <v>55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 t="str">
        <f>Отчет!$C$4</f>
        <v>МБОУ СОШ № 153</v>
      </c>
      <c r="G14" s="176"/>
      <c r="H14" s="270">
        <f t="shared" si="0"/>
        <v>0</v>
      </c>
      <c r="I14" s="39"/>
      <c r="J14" s="39"/>
      <c r="K14" s="165"/>
      <c r="L14" s="39"/>
      <c r="M14" s="4" t="e">
        <f t="shared" si="1"/>
        <v>#DIV/0!</v>
      </c>
      <c r="N14" s="39"/>
      <c r="O14" s="39"/>
      <c r="P14" s="21" t="s">
        <v>55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 t="str">
        <f>Отчет!$C$4</f>
        <v>МБОУ СОШ № 153</v>
      </c>
      <c r="G15" s="176"/>
      <c r="H15" s="270">
        <f t="shared" si="0"/>
        <v>0</v>
      </c>
      <c r="I15" s="39"/>
      <c r="J15" s="39"/>
      <c r="K15" s="165"/>
      <c r="L15" s="39"/>
      <c r="M15" s="4" t="e">
        <f t="shared" si="1"/>
        <v>#DIV/0!</v>
      </c>
      <c r="N15" s="39"/>
      <c r="O15" s="39"/>
      <c r="P15" s="21" t="s">
        <v>55</v>
      </c>
      <c r="Q15" s="134">
        <f t="shared" si="2"/>
      </c>
      <c r="R15" s="271">
        <f>Отчет!$Q$4</f>
        <v>937015</v>
      </c>
    </row>
    <row r="16" spans="1:18" ht="12.75">
      <c r="A16" s="21"/>
      <c r="B16" s="21"/>
      <c r="C16" s="21"/>
      <c r="D16" s="21"/>
      <c r="E16" s="170"/>
      <c r="F16" s="39" t="str">
        <f>Отчет!$C$4</f>
        <v>МБОУ СОШ № 153</v>
      </c>
      <c r="G16" s="176"/>
      <c r="H16" s="270">
        <f t="shared" si="0"/>
        <v>0</v>
      </c>
      <c r="I16" s="12"/>
      <c r="J16" s="39"/>
      <c r="K16" s="5"/>
      <c r="L16" s="22"/>
      <c r="M16" s="4" t="e">
        <f t="shared" si="1"/>
        <v>#DIV/0!</v>
      </c>
      <c r="N16" s="37"/>
      <c r="O16" s="39"/>
      <c r="P16" s="21" t="s">
        <v>55</v>
      </c>
      <c r="Q16" s="134">
        <f t="shared" si="2"/>
      </c>
      <c r="R16" s="271">
        <f>Отчет!$Q$4</f>
        <v>937015</v>
      </c>
    </row>
    <row r="17" spans="1:18" ht="12.75">
      <c r="A17" s="21"/>
      <c r="B17" s="21"/>
      <c r="C17" s="21"/>
      <c r="D17" s="21"/>
      <c r="E17" s="170"/>
      <c r="F17" s="39" t="str">
        <f>Отчет!$C$4</f>
        <v>МБОУ СОШ № 153</v>
      </c>
      <c r="G17" s="176"/>
      <c r="H17" s="270">
        <f t="shared" si="0"/>
        <v>0</v>
      </c>
      <c r="I17" s="12"/>
      <c r="J17" s="39"/>
      <c r="K17" s="5"/>
      <c r="L17" s="22"/>
      <c r="M17" s="4" t="e">
        <f t="shared" si="1"/>
        <v>#DIV/0!</v>
      </c>
      <c r="N17" s="37"/>
      <c r="O17" s="39"/>
      <c r="P17" s="21" t="s">
        <v>55</v>
      </c>
      <c r="Q17" s="134">
        <f t="shared" si="2"/>
      </c>
      <c r="R17" s="271">
        <f>Отчет!$Q$4</f>
        <v>937015</v>
      </c>
    </row>
    <row r="18" spans="1:18" ht="12.75">
      <c r="A18" s="21"/>
      <c r="B18" s="21"/>
      <c r="C18" s="21"/>
      <c r="D18" s="21"/>
      <c r="E18" s="170"/>
      <c r="F18" s="39" t="str">
        <f>Отчет!$C$4</f>
        <v>МБОУ СОШ № 153</v>
      </c>
      <c r="G18" s="176"/>
      <c r="H18" s="270">
        <f t="shared" si="0"/>
        <v>0</v>
      </c>
      <c r="I18" s="12"/>
      <c r="J18" s="39"/>
      <c r="K18" s="5"/>
      <c r="L18" s="22"/>
      <c r="M18" s="4" t="e">
        <f t="shared" si="1"/>
        <v>#DIV/0!</v>
      </c>
      <c r="N18" s="37"/>
      <c r="O18" s="39"/>
      <c r="P18" s="21" t="s">
        <v>55</v>
      </c>
      <c r="Q18" s="134">
        <f t="shared" si="2"/>
      </c>
      <c r="R18" s="271">
        <f>Отчет!$Q$4</f>
        <v>937015</v>
      </c>
    </row>
    <row r="19" spans="1:18" ht="12.75">
      <c r="A19" s="105"/>
      <c r="B19" s="105"/>
      <c r="C19" s="105"/>
      <c r="D19" s="105"/>
      <c r="E19" s="171"/>
      <c r="F19" s="39" t="str">
        <f>Отчет!$C$4</f>
        <v>МБОУ СОШ № 153</v>
      </c>
      <c r="G19" s="176"/>
      <c r="H19" s="270">
        <f t="shared" si="0"/>
        <v>0</v>
      </c>
      <c r="I19" s="115"/>
      <c r="J19" s="100"/>
      <c r="K19" s="108"/>
      <c r="L19" s="107"/>
      <c r="M19" s="4" t="e">
        <f t="shared" si="1"/>
        <v>#DIV/0!</v>
      </c>
      <c r="N19" s="110"/>
      <c r="O19" s="39"/>
      <c r="P19" s="105" t="s">
        <v>55</v>
      </c>
      <c r="Q19" s="134">
        <f t="shared" si="2"/>
      </c>
      <c r="R19" s="271">
        <f>Отчет!$Q$4</f>
        <v>937015</v>
      </c>
    </row>
    <row r="20" spans="1:18" ht="12.75">
      <c r="A20" s="21"/>
      <c r="B20" s="21"/>
      <c r="C20" s="21"/>
      <c r="D20" s="21"/>
      <c r="E20" s="170"/>
      <c r="F20" s="39" t="str">
        <f>Отчет!$C$4</f>
        <v>МБОУ СОШ № 153</v>
      </c>
      <c r="G20" s="176"/>
      <c r="H20" s="270">
        <f t="shared" si="0"/>
        <v>0</v>
      </c>
      <c r="I20" s="199"/>
      <c r="J20" s="39"/>
      <c r="K20" s="163"/>
      <c r="L20" s="22"/>
      <c r="M20" s="4" t="e">
        <f t="shared" si="1"/>
        <v>#DIV/0!</v>
      </c>
      <c r="N20" s="3"/>
      <c r="O20" s="39"/>
      <c r="P20" s="21" t="s">
        <v>55</v>
      </c>
      <c r="Q20" s="134">
        <f t="shared" si="2"/>
      </c>
      <c r="R20" s="271">
        <f>Отчет!$Q$4</f>
        <v>937015</v>
      </c>
    </row>
    <row r="21" spans="1:16" ht="12.75">
      <c r="A21" s="25"/>
      <c r="B21" s="25"/>
      <c r="C21" s="25"/>
      <c r="D21" s="25"/>
      <c r="E21" s="70"/>
      <c r="F21" s="73"/>
      <c r="G21" s="69"/>
      <c r="H21" s="69"/>
      <c r="I21" s="75"/>
      <c r="J21" s="73"/>
      <c r="K21" s="49"/>
      <c r="L21" s="50"/>
      <c r="M21" s="71"/>
      <c r="N21" s="69"/>
      <c r="O21" s="164"/>
      <c r="P21" s="25"/>
    </row>
    <row r="22" spans="1:16" ht="12.75">
      <c r="A22" s="25"/>
      <c r="B22" s="25"/>
      <c r="C22" s="25"/>
      <c r="D22" s="25"/>
      <c r="E22" s="70"/>
      <c r="F22" s="73"/>
      <c r="G22" s="69"/>
      <c r="H22" s="69"/>
      <c r="I22" s="75"/>
      <c r="J22" s="73"/>
      <c r="K22" s="49"/>
      <c r="L22" s="50"/>
      <c r="M22" s="71"/>
      <c r="N22" s="69"/>
      <c r="O22" s="164"/>
      <c r="P22" s="25"/>
    </row>
    <row r="23" spans="1:16" ht="12.75">
      <c r="A23" s="25"/>
      <c r="B23" s="25"/>
      <c r="C23" s="25"/>
      <c r="D23" s="25"/>
      <c r="E23" s="70"/>
      <c r="F23" s="73"/>
      <c r="G23" s="69"/>
      <c r="H23" s="69"/>
      <c r="I23" s="75"/>
      <c r="J23" s="73"/>
      <c r="K23" s="49"/>
      <c r="L23" s="50"/>
      <c r="M23" s="71"/>
      <c r="N23" s="69"/>
      <c r="O23" s="164"/>
      <c r="P23" s="25"/>
    </row>
    <row r="24" spans="1:16" ht="12.75">
      <c r="A24" s="25"/>
      <c r="B24" s="25"/>
      <c r="C24" s="25"/>
      <c r="D24" s="25"/>
      <c r="E24" s="70"/>
      <c r="F24" s="73"/>
      <c r="G24" s="69"/>
      <c r="H24" s="69"/>
      <c r="I24" s="75"/>
      <c r="J24" s="73"/>
      <c r="K24" s="49"/>
      <c r="L24" s="50"/>
      <c r="M24" s="71"/>
      <c r="N24" s="69"/>
      <c r="O24" s="164"/>
      <c r="P24" s="25"/>
    </row>
    <row r="25" spans="1:16" ht="12.75">
      <c r="A25" s="25"/>
      <c r="B25" s="25"/>
      <c r="C25" s="25"/>
      <c r="D25" s="25"/>
      <c r="E25" s="70"/>
      <c r="F25" s="73"/>
      <c r="G25" s="69"/>
      <c r="H25" s="69"/>
      <c r="I25" s="75"/>
      <c r="J25" s="73"/>
      <c r="K25" s="49"/>
      <c r="L25" s="50"/>
      <c r="M25" s="71"/>
      <c r="N25" s="69"/>
      <c r="O25" s="164"/>
      <c r="P25" s="25"/>
    </row>
    <row r="26" spans="1:16" ht="12.75">
      <c r="A26" s="25"/>
      <c r="B26" s="25"/>
      <c r="C26" s="25"/>
      <c r="D26" s="25"/>
      <c r="E26" s="70"/>
      <c r="F26" s="73"/>
      <c r="G26" s="69"/>
      <c r="H26" s="69"/>
      <c r="I26" s="75"/>
      <c r="J26" s="73"/>
      <c r="K26" s="49"/>
      <c r="L26" s="50"/>
      <c r="M26" s="71"/>
      <c r="N26" s="69"/>
      <c r="O26" s="164"/>
      <c r="P26" s="25"/>
    </row>
    <row r="27" spans="1:16" ht="12.75">
      <c r="A27" s="25"/>
      <c r="B27" s="25"/>
      <c r="C27" s="25"/>
      <c r="D27" s="25"/>
      <c r="E27" s="70"/>
      <c r="F27" s="73"/>
      <c r="G27" s="69"/>
      <c r="H27" s="69"/>
      <c r="I27" s="75"/>
      <c r="J27" s="73"/>
      <c r="K27" s="49"/>
      <c r="L27" s="50"/>
      <c r="M27" s="71"/>
      <c r="N27" s="69"/>
      <c r="O27" s="164"/>
      <c r="P27" s="25"/>
    </row>
    <row r="28" spans="1:16" ht="12.75">
      <c r="A28" s="25"/>
      <c r="B28" s="25"/>
      <c r="C28" s="25"/>
      <c r="D28" s="25"/>
      <c r="E28" s="70"/>
      <c r="F28" s="73"/>
      <c r="G28" s="69"/>
      <c r="H28" s="69"/>
      <c r="I28" s="75"/>
      <c r="J28" s="73"/>
      <c r="K28" s="49"/>
      <c r="L28" s="50"/>
      <c r="M28" s="71"/>
      <c r="N28" s="69"/>
      <c r="O28" s="164"/>
      <c r="P28" s="25"/>
    </row>
    <row r="29" spans="1:16" ht="12.75">
      <c r="A29" s="25"/>
      <c r="B29" s="25"/>
      <c r="C29" s="25"/>
      <c r="D29" s="25"/>
      <c r="E29" s="70"/>
      <c r="F29" s="73"/>
      <c r="G29" s="69"/>
      <c r="H29" s="69"/>
      <c r="I29" s="75"/>
      <c r="J29" s="73"/>
      <c r="K29" s="49"/>
      <c r="L29" s="50"/>
      <c r="M29" s="71"/>
      <c r="N29" s="69"/>
      <c r="O29" s="164"/>
      <c r="P29" s="25"/>
    </row>
    <row r="30" spans="1:16" ht="12.75">
      <c r="A30" s="25"/>
      <c r="B30" s="25"/>
      <c r="C30" s="25"/>
      <c r="D30" s="25"/>
      <c r="E30" s="70"/>
      <c r="F30" s="73"/>
      <c r="G30" s="69"/>
      <c r="H30" s="69"/>
      <c r="I30" s="75"/>
      <c r="J30" s="73"/>
      <c r="K30" s="49"/>
      <c r="L30" s="50"/>
      <c r="M30" s="71"/>
      <c r="N30" s="69"/>
      <c r="O30" s="164"/>
      <c r="P30" s="25"/>
    </row>
    <row r="31" spans="1:16" ht="12.75">
      <c r="A31" s="25"/>
      <c r="B31" s="25"/>
      <c r="C31" s="25"/>
      <c r="D31" s="25"/>
      <c r="E31" s="70"/>
      <c r="F31" s="73"/>
      <c r="G31" s="69"/>
      <c r="H31" s="69"/>
      <c r="I31" s="75"/>
      <c r="J31" s="73"/>
      <c r="K31" s="49"/>
      <c r="L31" s="50"/>
      <c r="M31" s="71"/>
      <c r="N31" s="69"/>
      <c r="O31" s="164"/>
      <c r="P31" s="25"/>
    </row>
    <row r="32" spans="1:16" ht="12.75">
      <c r="A32" s="25"/>
      <c r="B32" s="25"/>
      <c r="C32" s="25"/>
      <c r="D32" s="25"/>
      <c r="E32" s="70"/>
      <c r="F32" s="73"/>
      <c r="G32" s="69"/>
      <c r="H32" s="69"/>
      <c r="I32" s="75"/>
      <c r="J32" s="73"/>
      <c r="K32" s="49"/>
      <c r="L32" s="50"/>
      <c r="M32" s="71"/>
      <c r="N32" s="69"/>
      <c r="O32" s="164"/>
      <c r="P32" s="25"/>
    </row>
    <row r="33" spans="1:16" ht="12.75">
      <c r="A33" s="25"/>
      <c r="B33" s="25"/>
      <c r="C33" s="25"/>
      <c r="D33" s="25"/>
      <c r="E33" s="70"/>
      <c r="F33" s="73"/>
      <c r="G33" s="69"/>
      <c r="H33" s="69"/>
      <c r="I33" s="75"/>
      <c r="J33" s="73"/>
      <c r="K33" s="49"/>
      <c r="L33" s="50"/>
      <c r="M33" s="71"/>
      <c r="N33" s="69"/>
      <c r="O33" s="164"/>
      <c r="P33" s="25"/>
    </row>
    <row r="34" spans="3:16" ht="12.75">
      <c r="C34" s="25"/>
      <c r="D34" s="25"/>
      <c r="E34" s="70"/>
      <c r="F34" s="73"/>
      <c r="G34" s="69"/>
      <c r="H34" s="69"/>
      <c r="I34" s="75"/>
      <c r="J34" s="73"/>
      <c r="K34" s="49"/>
      <c r="L34" s="50"/>
      <c r="M34" s="71"/>
      <c r="N34" s="69"/>
      <c r="O34" s="164"/>
      <c r="P34" s="25"/>
    </row>
    <row r="35" spans="3:16" ht="12.75">
      <c r="C35" s="25"/>
      <c r="D35" s="25"/>
      <c r="E35" s="70"/>
      <c r="F35" s="73"/>
      <c r="G35" s="69"/>
      <c r="H35" s="69"/>
      <c r="I35" s="75"/>
      <c r="J35" s="73"/>
      <c r="K35" s="49"/>
      <c r="L35" s="50"/>
      <c r="M35" s="71"/>
      <c r="N35" s="69"/>
      <c r="O35" s="164"/>
      <c r="P35" s="25"/>
    </row>
    <row r="36" spans="3:16" ht="12.75">
      <c r="C36" s="25"/>
      <c r="D36" s="25"/>
      <c r="E36" s="70"/>
      <c r="F36" s="73"/>
      <c r="G36" s="69"/>
      <c r="H36" s="69"/>
      <c r="I36" s="75"/>
      <c r="J36" s="73"/>
      <c r="K36" s="49"/>
      <c r="L36" s="50"/>
      <c r="M36" s="71"/>
      <c r="N36" s="69"/>
      <c r="O36" s="164"/>
      <c r="P36" s="25"/>
    </row>
    <row r="37" spans="3:16" ht="12.75">
      <c r="C37" s="25"/>
      <c r="D37" s="25"/>
      <c r="E37" s="70"/>
      <c r="F37" s="73"/>
      <c r="G37" s="69"/>
      <c r="H37" s="69"/>
      <c r="I37" s="75"/>
      <c r="J37" s="73"/>
      <c r="K37" s="49"/>
      <c r="L37" s="50"/>
      <c r="M37" s="71"/>
      <c r="N37" s="69"/>
      <c r="O37" s="164"/>
      <c r="P37" s="25"/>
    </row>
    <row r="38" spans="3:16" ht="12.75">
      <c r="C38" s="25"/>
      <c r="D38" s="25"/>
      <c r="E38" s="70"/>
      <c r="F38" s="73"/>
      <c r="G38" s="69"/>
      <c r="H38" s="69"/>
      <c r="I38" s="75"/>
      <c r="J38" s="73"/>
      <c r="K38" s="49"/>
      <c r="L38" s="50"/>
      <c r="M38" s="71"/>
      <c r="N38" s="69"/>
      <c r="O38" s="164"/>
      <c r="P38" s="25"/>
    </row>
    <row r="39" spans="3:16" ht="12.75">
      <c r="C39" s="25"/>
      <c r="D39" s="25"/>
      <c r="E39" s="70"/>
      <c r="F39" s="73"/>
      <c r="G39" s="69"/>
      <c r="H39" s="69"/>
      <c r="I39" s="75"/>
      <c r="J39" s="73"/>
      <c r="K39" s="49"/>
      <c r="L39" s="50"/>
      <c r="M39" s="71"/>
      <c r="N39" s="69"/>
      <c r="O39" s="164"/>
      <c r="P39" s="25"/>
    </row>
    <row r="40" spans="3:16" ht="12.75">
      <c r="C40" s="25"/>
      <c r="D40" s="25"/>
      <c r="E40" s="70"/>
      <c r="F40" s="73"/>
      <c r="G40" s="69"/>
      <c r="H40" s="69"/>
      <c r="I40" s="75"/>
      <c r="J40" s="73"/>
      <c r="K40" s="49"/>
      <c r="L40" s="50"/>
      <c r="M40" s="71"/>
      <c r="N40" s="69"/>
      <c r="O40" s="164"/>
      <c r="P40" s="25"/>
    </row>
    <row r="41" spans="3:16" ht="12.75">
      <c r="C41" s="25"/>
      <c r="D41" s="25"/>
      <c r="E41" s="70"/>
      <c r="F41" s="73"/>
      <c r="G41" s="69"/>
      <c r="H41" s="69"/>
      <c r="I41" s="75"/>
      <c r="J41" s="73"/>
      <c r="K41" s="49"/>
      <c r="L41" s="50"/>
      <c r="M41" s="71"/>
      <c r="N41" s="69"/>
      <c r="O41" s="164"/>
      <c r="P41" s="25"/>
    </row>
    <row r="42" spans="3:16" ht="12.75">
      <c r="C42" s="25"/>
      <c r="D42" s="25"/>
      <c r="E42" s="70"/>
      <c r="F42" s="73"/>
      <c r="G42" s="69"/>
      <c r="H42" s="69"/>
      <c r="I42" s="75"/>
      <c r="J42" s="73"/>
      <c r="K42" s="49"/>
      <c r="L42" s="50"/>
      <c r="M42" s="71"/>
      <c r="N42" s="69"/>
      <c r="O42" s="164"/>
      <c r="P42" s="25"/>
    </row>
    <row r="43" spans="3:16" ht="12.75">
      <c r="C43" s="25"/>
      <c r="D43" s="25"/>
      <c r="E43" s="70"/>
      <c r="F43" s="73"/>
      <c r="G43" s="69"/>
      <c r="H43" s="69"/>
      <c r="I43" s="75"/>
      <c r="J43" s="73"/>
      <c r="K43" s="49"/>
      <c r="L43" s="50"/>
      <c r="M43" s="71"/>
      <c r="N43" s="69"/>
      <c r="O43" s="164"/>
      <c r="P43" s="25"/>
    </row>
    <row r="44" spans="3:16" ht="12.75">
      <c r="C44" s="25"/>
      <c r="D44" s="25"/>
      <c r="E44" s="70"/>
      <c r="F44" s="73"/>
      <c r="G44" s="69"/>
      <c r="H44" s="69"/>
      <c r="I44" s="75"/>
      <c r="J44" s="73"/>
      <c r="K44" s="49"/>
      <c r="L44" s="50"/>
      <c r="M44" s="71"/>
      <c r="N44" s="69"/>
      <c r="O44" s="164"/>
      <c r="P44" s="25"/>
    </row>
    <row r="45" spans="3:16" ht="12.75">
      <c r="C45" s="25"/>
      <c r="D45" s="25"/>
      <c r="E45" s="70"/>
      <c r="F45" s="73"/>
      <c r="G45" s="69"/>
      <c r="H45" s="69"/>
      <c r="I45" s="75"/>
      <c r="J45" s="73"/>
      <c r="K45" s="49"/>
      <c r="L45" s="50"/>
      <c r="M45" s="71"/>
      <c r="N45" s="69"/>
      <c r="O45" s="164"/>
      <c r="P45" s="25"/>
    </row>
    <row r="46" spans="3:16" ht="12.75">
      <c r="C46" s="25"/>
      <c r="D46" s="25"/>
      <c r="E46" s="70"/>
      <c r="F46" s="73"/>
      <c r="G46" s="69"/>
      <c r="H46" s="69"/>
      <c r="I46" s="75"/>
      <c r="J46" s="73"/>
      <c r="K46" s="49"/>
      <c r="L46" s="50"/>
      <c r="M46" s="71"/>
      <c r="N46" s="69"/>
      <c r="O46" s="164"/>
      <c r="P46" s="25"/>
    </row>
    <row r="47" spans="3:16" ht="12.75">
      <c r="C47" s="25"/>
      <c r="D47" s="25"/>
      <c r="E47" s="70"/>
      <c r="F47" s="73"/>
      <c r="G47" s="69"/>
      <c r="H47" s="69"/>
      <c r="I47" s="75"/>
      <c r="J47" s="73"/>
      <c r="K47" s="49"/>
      <c r="L47" s="50"/>
      <c r="M47" s="71"/>
      <c r="N47" s="69"/>
      <c r="O47" s="164"/>
      <c r="P47" s="25"/>
    </row>
    <row r="48" spans="3:16" ht="12.75">
      <c r="C48" s="25"/>
      <c r="D48" s="25"/>
      <c r="E48" s="70"/>
      <c r="F48" s="73"/>
      <c r="G48" s="69"/>
      <c r="H48" s="69"/>
      <c r="I48" s="75"/>
      <c r="J48" s="73"/>
      <c r="K48" s="49"/>
      <c r="L48" s="50"/>
      <c r="M48" s="71"/>
      <c r="N48" s="69"/>
      <c r="O48" s="164"/>
      <c r="P48" s="25"/>
    </row>
    <row r="49" spans="3:16" ht="12.75">
      <c r="C49" s="25"/>
      <c r="D49" s="25"/>
      <c r="E49" s="70"/>
      <c r="F49" s="73"/>
      <c r="G49" s="69"/>
      <c r="H49" s="69"/>
      <c r="I49" s="75"/>
      <c r="J49" s="73"/>
      <c r="K49" s="49"/>
      <c r="L49" s="50"/>
      <c r="M49" s="71"/>
      <c r="N49" s="69"/>
      <c r="O49" s="164"/>
      <c r="P49" s="25"/>
    </row>
    <row r="50" spans="3:16" ht="12.75">
      <c r="C50" s="25"/>
      <c r="D50" s="25"/>
      <c r="E50" s="70"/>
      <c r="F50" s="73"/>
      <c r="G50" s="69"/>
      <c r="H50" s="69"/>
      <c r="I50" s="75"/>
      <c r="J50" s="73"/>
      <c r="K50" s="49"/>
      <c r="L50" s="50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I8" sqref="I8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55" customWidth="1"/>
    <col min="10" max="10" width="18.25390625" style="55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7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43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5">
        <f>IF(COUNTIF(Q1:Q1000,"Введите дату рождения")&lt;&gt;0,"1","")</f>
      </c>
    </row>
    <row r="2" spans="1:18" ht="12.75">
      <c r="A2" s="42"/>
      <c r="B2" s="39"/>
      <c r="C2" s="39"/>
      <c r="D2" s="39"/>
      <c r="E2" s="42"/>
      <c r="F2" s="39" t="str">
        <f>Отчет!$C$4</f>
        <v>МБОУ СОШ № 153</v>
      </c>
      <c r="G2" s="176"/>
      <c r="H2" s="270">
        <f aca="true" t="shared" si="0" ref="H2:H20">G2</f>
        <v>0</v>
      </c>
      <c r="I2" s="39"/>
      <c r="J2" s="39"/>
      <c r="K2" s="165"/>
      <c r="L2" s="39"/>
      <c r="M2" s="4" t="e">
        <f aca="true" t="shared" si="1" ref="M2:M20">K2/L2</f>
        <v>#DIV/0!</v>
      </c>
      <c r="N2" s="39"/>
      <c r="O2" s="39"/>
      <c r="P2" s="21" t="s">
        <v>114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 t="str">
        <f>Отчет!$C$4</f>
        <v>МБОУ СОШ № 153</v>
      </c>
      <c r="G3" s="176"/>
      <c r="H3" s="270">
        <f t="shared" si="0"/>
        <v>0</v>
      </c>
      <c r="I3" s="39"/>
      <c r="J3" s="39"/>
      <c r="K3" s="165"/>
      <c r="L3" s="39"/>
      <c r="M3" s="4" t="e">
        <f t="shared" si="1"/>
        <v>#DIV/0!</v>
      </c>
      <c r="N3" s="39"/>
      <c r="O3" s="39"/>
      <c r="P3" s="21" t="s">
        <v>114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>
      <c r="A4" s="166"/>
      <c r="B4" s="21"/>
      <c r="C4" s="39"/>
      <c r="D4" s="39"/>
      <c r="E4" s="42"/>
      <c r="F4" s="39" t="str">
        <f>Отчет!$C$4</f>
        <v>МБОУ СОШ № 153</v>
      </c>
      <c r="G4" s="176"/>
      <c r="H4" s="270">
        <f t="shared" si="0"/>
        <v>0</v>
      </c>
      <c r="I4" s="39"/>
      <c r="J4" s="39"/>
      <c r="K4" s="165"/>
      <c r="L4" s="39"/>
      <c r="M4" s="4" t="e">
        <f t="shared" si="1"/>
        <v>#DIV/0!</v>
      </c>
      <c r="N4" s="39"/>
      <c r="O4" s="39"/>
      <c r="P4" s="21" t="s">
        <v>114</v>
      </c>
      <c r="Q4" s="134">
        <f t="shared" si="2"/>
      </c>
      <c r="R4" s="271">
        <f>Отчет!$Q$4</f>
        <v>937015</v>
      </c>
    </row>
    <row r="5" spans="1:18" ht="12.75">
      <c r="A5" s="166"/>
      <c r="B5" s="21"/>
      <c r="C5" s="39"/>
      <c r="D5" s="39"/>
      <c r="E5" s="42"/>
      <c r="F5" s="39" t="str">
        <f>Отчет!$C$4</f>
        <v>МБОУ СОШ № 153</v>
      </c>
      <c r="G5" s="176"/>
      <c r="H5" s="270">
        <f t="shared" si="0"/>
        <v>0</v>
      </c>
      <c r="I5" s="39"/>
      <c r="J5" s="39"/>
      <c r="K5" s="165"/>
      <c r="L5" s="39"/>
      <c r="M5" s="4" t="e">
        <f t="shared" si="1"/>
        <v>#DIV/0!</v>
      </c>
      <c r="N5" s="39"/>
      <c r="O5" s="39"/>
      <c r="P5" s="21" t="s">
        <v>114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 t="str">
        <f>Отчет!$C$4</f>
        <v>МБОУ СОШ № 153</v>
      </c>
      <c r="G6" s="176"/>
      <c r="H6" s="270">
        <f t="shared" si="0"/>
        <v>0</v>
      </c>
      <c r="I6" s="39"/>
      <c r="J6" s="39"/>
      <c r="K6" s="165"/>
      <c r="L6" s="39"/>
      <c r="M6" s="4" t="e">
        <f t="shared" si="1"/>
        <v>#DIV/0!</v>
      </c>
      <c r="N6" s="39"/>
      <c r="O6" s="39"/>
      <c r="P6" s="21" t="s">
        <v>114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 t="str">
        <f>Отчет!$C$4</f>
        <v>МБОУ СОШ № 153</v>
      </c>
      <c r="G7" s="176"/>
      <c r="H7" s="270">
        <f t="shared" si="0"/>
        <v>0</v>
      </c>
      <c r="I7" s="39"/>
      <c r="J7" s="39"/>
      <c r="K7" s="165"/>
      <c r="L7" s="39"/>
      <c r="M7" s="4" t="e">
        <f t="shared" si="1"/>
        <v>#DIV/0!</v>
      </c>
      <c r="N7" s="39"/>
      <c r="O7" s="39"/>
      <c r="P7" s="21" t="s">
        <v>114</v>
      </c>
      <c r="Q7" s="134">
        <f t="shared" si="2"/>
      </c>
      <c r="R7" s="271">
        <f>Отчет!$Q$4</f>
        <v>937015</v>
      </c>
    </row>
    <row r="8" spans="1:18" ht="12.75">
      <c r="A8" s="166"/>
      <c r="B8" s="21"/>
      <c r="C8" s="39"/>
      <c r="D8" s="39"/>
      <c r="E8" s="42"/>
      <c r="F8" s="39" t="str">
        <f>Отчет!$C$4</f>
        <v>МБОУ СОШ № 153</v>
      </c>
      <c r="G8" s="176"/>
      <c r="H8" s="270">
        <f t="shared" si="0"/>
        <v>0</v>
      </c>
      <c r="I8" s="39"/>
      <c r="J8" s="39"/>
      <c r="K8" s="165"/>
      <c r="L8" s="39"/>
      <c r="M8" s="4" t="e">
        <f t="shared" si="1"/>
        <v>#DIV/0!</v>
      </c>
      <c r="N8" s="39"/>
      <c r="O8" s="39"/>
      <c r="P8" s="21" t="s">
        <v>114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 t="str">
        <f>Отчет!$C$4</f>
        <v>МБОУ СОШ № 153</v>
      </c>
      <c r="G9" s="176"/>
      <c r="H9" s="270">
        <f t="shared" si="0"/>
        <v>0</v>
      </c>
      <c r="I9" s="39"/>
      <c r="J9" s="39"/>
      <c r="K9" s="165"/>
      <c r="L9" s="39"/>
      <c r="M9" s="4" t="e">
        <f t="shared" si="1"/>
        <v>#DIV/0!</v>
      </c>
      <c r="N9" s="39"/>
      <c r="O9" s="39"/>
      <c r="P9" s="21" t="s">
        <v>114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 t="str">
        <f>Отчет!$C$4</f>
        <v>МБОУ СОШ № 153</v>
      </c>
      <c r="G10" s="176"/>
      <c r="H10" s="270">
        <f t="shared" si="0"/>
        <v>0</v>
      </c>
      <c r="I10" s="39"/>
      <c r="J10" s="39"/>
      <c r="K10" s="165"/>
      <c r="L10" s="39"/>
      <c r="M10" s="4" t="e">
        <f t="shared" si="1"/>
        <v>#DIV/0!</v>
      </c>
      <c r="N10" s="39"/>
      <c r="O10" s="39"/>
      <c r="P10" s="21" t="s">
        <v>114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 t="str">
        <f>Отчет!$C$4</f>
        <v>МБОУ СОШ № 153</v>
      </c>
      <c r="G11" s="176"/>
      <c r="H11" s="270">
        <f t="shared" si="0"/>
        <v>0</v>
      </c>
      <c r="I11" s="39"/>
      <c r="J11" s="39"/>
      <c r="K11" s="165"/>
      <c r="L11" s="39"/>
      <c r="M11" s="4" t="e">
        <f t="shared" si="1"/>
        <v>#DIV/0!</v>
      </c>
      <c r="N11" s="39"/>
      <c r="O11" s="39"/>
      <c r="P11" s="21" t="s">
        <v>114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 t="str">
        <f>Отчет!$C$4</f>
        <v>МБОУ СОШ № 153</v>
      </c>
      <c r="G12" s="176"/>
      <c r="H12" s="270">
        <f t="shared" si="0"/>
        <v>0</v>
      </c>
      <c r="I12" s="39"/>
      <c r="J12" s="39"/>
      <c r="K12" s="165"/>
      <c r="L12" s="39"/>
      <c r="M12" s="4" t="e">
        <f t="shared" si="1"/>
        <v>#DIV/0!</v>
      </c>
      <c r="N12" s="39"/>
      <c r="O12" s="39"/>
      <c r="P12" s="21" t="s">
        <v>114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 t="str">
        <f>Отчет!$C$4</f>
        <v>МБОУ СОШ № 153</v>
      </c>
      <c r="G13" s="176"/>
      <c r="H13" s="270">
        <f t="shared" si="0"/>
        <v>0</v>
      </c>
      <c r="I13" s="39"/>
      <c r="J13" s="39"/>
      <c r="K13" s="165"/>
      <c r="L13" s="39"/>
      <c r="M13" s="4" t="e">
        <f t="shared" si="1"/>
        <v>#DIV/0!</v>
      </c>
      <c r="N13" s="39"/>
      <c r="O13" s="39"/>
      <c r="P13" s="21" t="s">
        <v>114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 t="str">
        <f>Отчет!$C$4</f>
        <v>МБОУ СОШ № 153</v>
      </c>
      <c r="G14" s="176"/>
      <c r="H14" s="270">
        <f t="shared" si="0"/>
        <v>0</v>
      </c>
      <c r="I14" s="39"/>
      <c r="J14" s="39"/>
      <c r="K14" s="165"/>
      <c r="L14" s="39"/>
      <c r="M14" s="4" t="e">
        <f t="shared" si="1"/>
        <v>#DIV/0!</v>
      </c>
      <c r="N14" s="39"/>
      <c r="O14" s="39"/>
      <c r="P14" s="21" t="s">
        <v>114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 t="str">
        <f>Отчет!$C$4</f>
        <v>МБОУ СОШ № 153</v>
      </c>
      <c r="G15" s="176"/>
      <c r="H15" s="270">
        <f t="shared" si="0"/>
        <v>0</v>
      </c>
      <c r="I15" s="39"/>
      <c r="J15" s="39"/>
      <c r="K15" s="165"/>
      <c r="L15" s="39"/>
      <c r="M15" s="4" t="e">
        <f t="shared" si="1"/>
        <v>#DIV/0!</v>
      </c>
      <c r="N15" s="39"/>
      <c r="O15" s="39"/>
      <c r="P15" s="21" t="s">
        <v>114</v>
      </c>
      <c r="Q15" s="134">
        <f t="shared" si="2"/>
      </c>
      <c r="R15" s="271">
        <f>Отчет!$Q$4</f>
        <v>937015</v>
      </c>
    </row>
    <row r="16" spans="1:18" ht="12.75">
      <c r="A16" s="39"/>
      <c r="B16" s="39"/>
      <c r="C16" s="39"/>
      <c r="D16" s="39"/>
      <c r="E16" s="42"/>
      <c r="F16" s="39" t="str">
        <f>Отчет!$C$4</f>
        <v>МБОУ СОШ № 153</v>
      </c>
      <c r="G16" s="176"/>
      <c r="H16" s="270">
        <f t="shared" si="0"/>
        <v>0</v>
      </c>
      <c r="I16" s="39"/>
      <c r="J16" s="39"/>
      <c r="K16" s="165"/>
      <c r="L16" s="39"/>
      <c r="M16" s="4" t="e">
        <f t="shared" si="1"/>
        <v>#DIV/0!</v>
      </c>
      <c r="N16" s="39"/>
      <c r="O16" s="39"/>
      <c r="P16" s="21" t="s">
        <v>114</v>
      </c>
      <c r="Q16" s="134">
        <f t="shared" si="2"/>
      </c>
      <c r="R16" s="271">
        <f>Отчет!$Q$4</f>
        <v>937015</v>
      </c>
    </row>
    <row r="17" spans="1:18" ht="12.75">
      <c r="A17" s="39"/>
      <c r="B17" s="39"/>
      <c r="C17" s="39"/>
      <c r="D17" s="39"/>
      <c r="E17" s="42"/>
      <c r="F17" s="39" t="str">
        <f>Отчет!$C$4</f>
        <v>МБОУ СОШ № 153</v>
      </c>
      <c r="G17" s="176"/>
      <c r="H17" s="270">
        <f t="shared" si="0"/>
        <v>0</v>
      </c>
      <c r="I17" s="39"/>
      <c r="J17" s="39"/>
      <c r="K17" s="165"/>
      <c r="L17" s="39"/>
      <c r="M17" s="4" t="e">
        <f t="shared" si="1"/>
        <v>#DIV/0!</v>
      </c>
      <c r="N17" s="39"/>
      <c r="O17" s="39"/>
      <c r="P17" s="21" t="s">
        <v>114</v>
      </c>
      <c r="Q17" s="134">
        <f t="shared" si="2"/>
      </c>
      <c r="R17" s="271">
        <f>Отчет!$Q$4</f>
        <v>937015</v>
      </c>
    </row>
    <row r="18" spans="1:18" ht="12.75">
      <c r="A18" s="21"/>
      <c r="B18" s="21"/>
      <c r="C18" s="21"/>
      <c r="D18" s="21"/>
      <c r="E18" s="170"/>
      <c r="F18" s="39" t="str">
        <f>Отчет!$C$4</f>
        <v>МБОУ СОШ № 153</v>
      </c>
      <c r="G18" s="176"/>
      <c r="H18" s="270">
        <f t="shared" si="0"/>
        <v>0</v>
      </c>
      <c r="I18" s="12"/>
      <c r="J18" s="39"/>
      <c r="K18" s="5"/>
      <c r="L18" s="22"/>
      <c r="M18" s="4" t="e">
        <f t="shared" si="1"/>
        <v>#DIV/0!</v>
      </c>
      <c r="N18" s="37"/>
      <c r="O18" s="39"/>
      <c r="P18" s="21" t="s">
        <v>114</v>
      </c>
      <c r="Q18" s="134">
        <f t="shared" si="2"/>
      </c>
      <c r="R18" s="271">
        <f>Отчет!$Q$4</f>
        <v>937015</v>
      </c>
    </row>
    <row r="19" spans="1:18" ht="12.75">
      <c r="A19" s="105"/>
      <c r="B19" s="105"/>
      <c r="C19" s="105"/>
      <c r="D19" s="105"/>
      <c r="E19" s="171"/>
      <c r="F19" s="39" t="str">
        <f>Отчет!$C$4</f>
        <v>МБОУ СОШ № 153</v>
      </c>
      <c r="G19" s="176"/>
      <c r="H19" s="270">
        <f t="shared" si="0"/>
        <v>0</v>
      </c>
      <c r="I19" s="115"/>
      <c r="J19" s="100"/>
      <c r="K19" s="108"/>
      <c r="L19" s="107"/>
      <c r="M19" s="4" t="e">
        <f t="shared" si="1"/>
        <v>#DIV/0!</v>
      </c>
      <c r="N19" s="110"/>
      <c r="O19" s="39"/>
      <c r="P19" s="21" t="s">
        <v>114</v>
      </c>
      <c r="Q19" s="134">
        <f t="shared" si="2"/>
      </c>
      <c r="R19" s="271">
        <f>Отчет!$Q$4</f>
        <v>937015</v>
      </c>
    </row>
    <row r="20" spans="1:18" ht="12.75">
      <c r="A20" s="21"/>
      <c r="B20" s="21"/>
      <c r="C20" s="21"/>
      <c r="D20" s="21"/>
      <c r="E20" s="170"/>
      <c r="F20" s="39" t="str">
        <f>Отчет!$C$4</f>
        <v>МБОУ СОШ № 153</v>
      </c>
      <c r="G20" s="176"/>
      <c r="H20" s="270">
        <f t="shared" si="0"/>
        <v>0</v>
      </c>
      <c r="I20" s="199"/>
      <c r="J20" s="39"/>
      <c r="K20" s="163"/>
      <c r="L20" s="22"/>
      <c r="M20" s="4" t="e">
        <f t="shared" si="1"/>
        <v>#DIV/0!</v>
      </c>
      <c r="N20" s="3"/>
      <c r="O20" s="39"/>
      <c r="P20" s="21" t="s">
        <v>114</v>
      </c>
      <c r="Q20" s="134">
        <f t="shared" si="2"/>
      </c>
      <c r="R20" s="271">
        <f>Отчет!$Q$4</f>
        <v>937015</v>
      </c>
    </row>
    <row r="21" spans="1:16" ht="12.75">
      <c r="A21" s="25"/>
      <c r="B21" s="25"/>
      <c r="C21" s="25"/>
      <c r="D21" s="25"/>
      <c r="E21" s="70"/>
      <c r="F21" s="73"/>
      <c r="G21" s="69"/>
      <c r="H21" s="69"/>
      <c r="I21" s="75"/>
      <c r="J21" s="73"/>
      <c r="K21" s="49"/>
      <c r="L21" s="50"/>
      <c r="M21" s="71"/>
      <c r="N21" s="69"/>
      <c r="O21" s="164"/>
      <c r="P21" s="25"/>
    </row>
    <row r="22" spans="1:16" ht="12.75">
      <c r="A22" s="25"/>
      <c r="B22" s="25"/>
      <c r="C22" s="25"/>
      <c r="D22" s="25"/>
      <c r="E22" s="70"/>
      <c r="F22" s="73"/>
      <c r="G22" s="69"/>
      <c r="H22" s="69"/>
      <c r="I22" s="75"/>
      <c r="J22" s="73"/>
      <c r="K22" s="49"/>
      <c r="L22" s="50"/>
      <c r="M22" s="71"/>
      <c r="N22" s="69"/>
      <c r="O22" s="164"/>
      <c r="P22" s="25"/>
    </row>
    <row r="23" spans="1:16" ht="12.75">
      <c r="A23" s="25"/>
      <c r="B23" s="25"/>
      <c r="C23" s="25"/>
      <c r="D23" s="25"/>
      <c r="E23" s="70"/>
      <c r="F23" s="73"/>
      <c r="G23" s="69"/>
      <c r="H23" s="69"/>
      <c r="I23" s="75"/>
      <c r="J23" s="73"/>
      <c r="K23" s="49"/>
      <c r="L23" s="50"/>
      <c r="M23" s="71"/>
      <c r="N23" s="69"/>
      <c r="O23" s="164"/>
      <c r="P23" s="25"/>
    </row>
    <row r="24" spans="1:16" ht="12.75">
      <c r="A24" s="25"/>
      <c r="B24" s="25"/>
      <c r="C24" s="25"/>
      <c r="D24" s="25"/>
      <c r="E24" s="70"/>
      <c r="F24" s="73"/>
      <c r="G24" s="69"/>
      <c r="H24" s="69"/>
      <c r="I24" s="75"/>
      <c r="J24" s="73"/>
      <c r="K24" s="49"/>
      <c r="L24" s="50"/>
      <c r="M24" s="71"/>
      <c r="N24" s="69"/>
      <c r="O24" s="164"/>
      <c r="P24" s="25"/>
    </row>
    <row r="25" spans="1:16" ht="12.75">
      <c r="A25" s="25"/>
      <c r="B25" s="25"/>
      <c r="C25" s="25"/>
      <c r="D25" s="25"/>
      <c r="E25" s="70"/>
      <c r="F25" s="73"/>
      <c r="G25" s="69"/>
      <c r="H25" s="69"/>
      <c r="I25" s="75"/>
      <c r="J25" s="73"/>
      <c r="K25" s="49"/>
      <c r="L25" s="50"/>
      <c r="M25" s="71"/>
      <c r="N25" s="69"/>
      <c r="O25" s="164"/>
      <c r="P25" s="25"/>
    </row>
    <row r="26" spans="1:16" ht="12.75">
      <c r="A26" s="25"/>
      <c r="B26" s="25"/>
      <c r="C26" s="25"/>
      <c r="D26" s="25"/>
      <c r="E26" s="70"/>
      <c r="F26" s="73"/>
      <c r="G26" s="69"/>
      <c r="H26" s="69"/>
      <c r="I26" s="75"/>
      <c r="J26" s="73"/>
      <c r="K26" s="49"/>
      <c r="L26" s="50"/>
      <c r="M26" s="71"/>
      <c r="N26" s="69"/>
      <c r="O26" s="164"/>
      <c r="P26" s="25"/>
    </row>
    <row r="27" spans="1:16" ht="12.75">
      <c r="A27" s="25"/>
      <c r="B27" s="25"/>
      <c r="C27" s="25"/>
      <c r="D27" s="25"/>
      <c r="E27" s="70"/>
      <c r="F27" s="73"/>
      <c r="G27" s="69"/>
      <c r="H27" s="69"/>
      <c r="I27" s="75"/>
      <c r="J27" s="73"/>
      <c r="K27" s="49"/>
      <c r="L27" s="50"/>
      <c r="M27" s="71"/>
      <c r="N27" s="69"/>
      <c r="O27" s="164"/>
      <c r="P27" s="25"/>
    </row>
    <row r="28" spans="1:16" ht="12.75">
      <c r="A28" s="25"/>
      <c r="B28" s="25"/>
      <c r="C28" s="25"/>
      <c r="D28" s="25"/>
      <c r="E28" s="70"/>
      <c r="F28" s="73"/>
      <c r="G28" s="69"/>
      <c r="H28" s="69"/>
      <c r="I28" s="75"/>
      <c r="J28" s="73"/>
      <c r="K28" s="49"/>
      <c r="L28" s="50"/>
      <c r="M28" s="71"/>
      <c r="N28" s="69"/>
      <c r="O28" s="164"/>
      <c r="P28" s="25"/>
    </row>
    <row r="29" spans="1:16" ht="12.75">
      <c r="A29" s="25"/>
      <c r="B29" s="25"/>
      <c r="C29" s="25"/>
      <c r="D29" s="25"/>
      <c r="E29" s="70"/>
      <c r="F29" s="73"/>
      <c r="G29" s="69"/>
      <c r="H29" s="69"/>
      <c r="I29" s="75"/>
      <c r="J29" s="73"/>
      <c r="K29" s="49"/>
      <c r="L29" s="50"/>
      <c r="M29" s="71"/>
      <c r="N29" s="69"/>
      <c r="O29" s="164"/>
      <c r="P29" s="25"/>
    </row>
    <row r="30" spans="1:16" ht="12.75">
      <c r="A30" s="25"/>
      <c r="B30" s="25"/>
      <c r="C30" s="25"/>
      <c r="D30" s="25"/>
      <c r="E30" s="70"/>
      <c r="F30" s="73"/>
      <c r="G30" s="69"/>
      <c r="H30" s="69"/>
      <c r="I30" s="75"/>
      <c r="J30" s="73"/>
      <c r="K30" s="49"/>
      <c r="L30" s="50"/>
      <c r="M30" s="71"/>
      <c r="N30" s="69"/>
      <c r="O30" s="164"/>
      <c r="P30" s="25"/>
    </row>
    <row r="31" spans="1:16" ht="12.75">
      <c r="A31" s="25"/>
      <c r="B31" s="25"/>
      <c r="C31" s="25"/>
      <c r="D31" s="25"/>
      <c r="E31" s="70"/>
      <c r="F31" s="73"/>
      <c r="G31" s="69"/>
      <c r="H31" s="69"/>
      <c r="I31" s="75"/>
      <c r="J31" s="73"/>
      <c r="K31" s="49"/>
      <c r="L31" s="50"/>
      <c r="M31" s="71"/>
      <c r="N31" s="69"/>
      <c r="O31" s="164"/>
      <c r="P31" s="25"/>
    </row>
    <row r="32" spans="1:16" ht="12.75">
      <c r="A32" s="25"/>
      <c r="B32" s="25"/>
      <c r="C32" s="25"/>
      <c r="D32" s="25"/>
      <c r="E32" s="70"/>
      <c r="F32" s="73"/>
      <c r="G32" s="69"/>
      <c r="H32" s="69"/>
      <c r="I32" s="75"/>
      <c r="J32" s="73"/>
      <c r="K32" s="49"/>
      <c r="L32" s="50"/>
      <c r="M32" s="71"/>
      <c r="N32" s="69"/>
      <c r="O32" s="164"/>
      <c r="P32" s="25"/>
    </row>
    <row r="33" spans="1:16" ht="12.75">
      <c r="A33" s="25"/>
      <c r="B33" s="25"/>
      <c r="C33" s="25"/>
      <c r="D33" s="25"/>
      <c r="E33" s="70"/>
      <c r="F33" s="73"/>
      <c r="G33" s="69"/>
      <c r="H33" s="69"/>
      <c r="I33" s="75"/>
      <c r="J33" s="73"/>
      <c r="K33" s="49"/>
      <c r="L33" s="50"/>
      <c r="M33" s="71"/>
      <c r="N33" s="69"/>
      <c r="O33" s="164"/>
      <c r="P33" s="25"/>
    </row>
    <row r="34" spans="3:16" ht="12.75">
      <c r="C34" s="25"/>
      <c r="D34" s="25"/>
      <c r="E34" s="70"/>
      <c r="F34" s="73"/>
      <c r="G34" s="69"/>
      <c r="H34" s="69"/>
      <c r="I34" s="75"/>
      <c r="J34" s="73"/>
      <c r="K34" s="49"/>
      <c r="L34" s="50"/>
      <c r="M34" s="71"/>
      <c r="N34" s="69"/>
      <c r="O34" s="164"/>
      <c r="P34" s="25"/>
    </row>
    <row r="35" spans="3:16" ht="12.75">
      <c r="C35" s="25"/>
      <c r="D35" s="25"/>
      <c r="E35" s="70"/>
      <c r="F35" s="73"/>
      <c r="G35" s="69"/>
      <c r="H35" s="69"/>
      <c r="I35" s="75"/>
      <c r="J35" s="73"/>
      <c r="K35" s="49"/>
      <c r="L35" s="50"/>
      <c r="M35" s="71"/>
      <c r="N35" s="69"/>
      <c r="O35" s="164"/>
      <c r="P35" s="25"/>
    </row>
    <row r="36" spans="3:16" ht="12.75">
      <c r="C36" s="25"/>
      <c r="D36" s="25"/>
      <c r="E36" s="70"/>
      <c r="F36" s="73"/>
      <c r="G36" s="69"/>
      <c r="H36" s="69"/>
      <c r="I36" s="75"/>
      <c r="J36" s="73"/>
      <c r="K36" s="49"/>
      <c r="L36" s="50"/>
      <c r="M36" s="71"/>
      <c r="N36" s="69"/>
      <c r="O36" s="164"/>
      <c r="P36" s="25"/>
    </row>
    <row r="37" spans="3:16" ht="12.75">
      <c r="C37" s="25"/>
      <c r="D37" s="25"/>
      <c r="E37" s="70"/>
      <c r="F37" s="73"/>
      <c r="G37" s="69"/>
      <c r="H37" s="69"/>
      <c r="I37" s="75"/>
      <c r="J37" s="73"/>
      <c r="K37" s="49"/>
      <c r="L37" s="50"/>
      <c r="M37" s="71"/>
      <c r="N37" s="69"/>
      <c r="O37" s="164"/>
      <c r="P37" s="25"/>
    </row>
    <row r="38" spans="3:16" ht="12.75">
      <c r="C38" s="25"/>
      <c r="D38" s="25"/>
      <c r="E38" s="70"/>
      <c r="F38" s="73"/>
      <c r="G38" s="69"/>
      <c r="H38" s="69"/>
      <c r="I38" s="75"/>
      <c r="J38" s="73"/>
      <c r="K38" s="49"/>
      <c r="L38" s="50"/>
      <c r="M38" s="71"/>
      <c r="N38" s="69"/>
      <c r="O38" s="164"/>
      <c r="P38" s="25"/>
    </row>
    <row r="39" spans="3:16" ht="12.75">
      <c r="C39" s="25"/>
      <c r="D39" s="25"/>
      <c r="E39" s="70"/>
      <c r="F39" s="73"/>
      <c r="G39" s="69"/>
      <c r="H39" s="69"/>
      <c r="I39" s="75"/>
      <c r="J39" s="73"/>
      <c r="K39" s="49"/>
      <c r="L39" s="50"/>
      <c r="M39" s="71"/>
      <c r="N39" s="69"/>
      <c r="O39" s="164"/>
      <c r="P39" s="25"/>
    </row>
    <row r="40" spans="3:16" ht="12.75">
      <c r="C40" s="25"/>
      <c r="D40" s="25"/>
      <c r="E40" s="70"/>
      <c r="F40" s="73"/>
      <c r="G40" s="69"/>
      <c r="H40" s="69"/>
      <c r="I40" s="75"/>
      <c r="J40" s="73"/>
      <c r="K40" s="49"/>
      <c r="L40" s="50"/>
      <c r="M40" s="71"/>
      <c r="N40" s="69"/>
      <c r="O40" s="164"/>
      <c r="P40" s="25"/>
    </row>
    <row r="41" spans="3:16" ht="12.75">
      <c r="C41" s="25"/>
      <c r="D41" s="25"/>
      <c r="E41" s="70"/>
      <c r="F41" s="73"/>
      <c r="G41" s="69"/>
      <c r="H41" s="69"/>
      <c r="I41" s="75"/>
      <c r="J41" s="73"/>
      <c r="K41" s="49"/>
      <c r="L41" s="50"/>
      <c r="M41" s="71"/>
      <c r="N41" s="69"/>
      <c r="O41" s="164"/>
      <c r="P41" s="25"/>
    </row>
    <row r="42" spans="3:16" ht="12.75">
      <c r="C42" s="25"/>
      <c r="D42" s="25"/>
      <c r="E42" s="70"/>
      <c r="F42" s="73"/>
      <c r="G42" s="69"/>
      <c r="H42" s="69"/>
      <c r="I42" s="75"/>
      <c r="J42" s="73"/>
      <c r="K42" s="49"/>
      <c r="L42" s="50"/>
      <c r="M42" s="71"/>
      <c r="N42" s="69"/>
      <c r="O42" s="164"/>
      <c r="P42" s="25"/>
    </row>
    <row r="43" spans="3:16" ht="12.75">
      <c r="C43" s="25"/>
      <c r="D43" s="25"/>
      <c r="E43" s="70"/>
      <c r="F43" s="73"/>
      <c r="G43" s="69"/>
      <c r="H43" s="69"/>
      <c r="I43" s="75"/>
      <c r="J43" s="73"/>
      <c r="K43" s="49"/>
      <c r="L43" s="50"/>
      <c r="M43" s="71"/>
      <c r="N43" s="69"/>
      <c r="O43" s="164"/>
      <c r="P43" s="25"/>
    </row>
    <row r="44" spans="3:16" ht="12.75">
      <c r="C44" s="25"/>
      <c r="D44" s="25"/>
      <c r="E44" s="70"/>
      <c r="F44" s="73"/>
      <c r="G44" s="69"/>
      <c r="H44" s="69"/>
      <c r="I44" s="75"/>
      <c r="J44" s="73"/>
      <c r="K44" s="49"/>
      <c r="L44" s="50"/>
      <c r="M44" s="71"/>
      <c r="N44" s="69"/>
      <c r="O44" s="164"/>
      <c r="P44" s="25"/>
    </row>
    <row r="45" spans="3:16" ht="12.75">
      <c r="C45" s="25"/>
      <c r="D45" s="25"/>
      <c r="E45" s="70"/>
      <c r="F45" s="73"/>
      <c r="G45" s="69"/>
      <c r="H45" s="69"/>
      <c r="I45" s="75"/>
      <c r="J45" s="73"/>
      <c r="K45" s="49"/>
      <c r="L45" s="50"/>
      <c r="M45" s="71"/>
      <c r="N45" s="69"/>
      <c r="O45" s="164"/>
      <c r="P45" s="25"/>
    </row>
    <row r="46" spans="3:16" ht="12.75">
      <c r="C46" s="25"/>
      <c r="D46" s="25"/>
      <c r="E46" s="70"/>
      <c r="F46" s="73"/>
      <c r="G46" s="69"/>
      <c r="H46" s="69"/>
      <c r="I46" s="75"/>
      <c r="J46" s="73"/>
      <c r="K46" s="49"/>
      <c r="L46" s="50"/>
      <c r="M46" s="71"/>
      <c r="N46" s="69"/>
      <c r="O46" s="164"/>
      <c r="P46" s="25"/>
    </row>
    <row r="47" spans="3:16" ht="12.75">
      <c r="C47" s="25"/>
      <c r="D47" s="25"/>
      <c r="E47" s="70"/>
      <c r="F47" s="73"/>
      <c r="G47" s="69"/>
      <c r="H47" s="69"/>
      <c r="I47" s="75"/>
      <c r="J47" s="73"/>
      <c r="K47" s="49"/>
      <c r="L47" s="50"/>
      <c r="M47" s="71"/>
      <c r="N47" s="69"/>
      <c r="O47" s="164"/>
      <c r="P47" s="25"/>
    </row>
    <row r="48" spans="3:16" ht="12.75">
      <c r="C48" s="25"/>
      <c r="D48" s="25"/>
      <c r="E48" s="70"/>
      <c r="F48" s="73"/>
      <c r="G48" s="69"/>
      <c r="H48" s="69"/>
      <c r="I48" s="75"/>
      <c r="J48" s="73"/>
      <c r="K48" s="49"/>
      <c r="L48" s="50"/>
      <c r="M48" s="71"/>
      <c r="N48" s="69"/>
      <c r="O48" s="164"/>
      <c r="P48" s="25"/>
    </row>
    <row r="49" spans="3:16" ht="12.75">
      <c r="C49" s="25"/>
      <c r="D49" s="25"/>
      <c r="E49" s="70"/>
      <c r="F49" s="73"/>
      <c r="G49" s="69"/>
      <c r="H49" s="69"/>
      <c r="I49" s="75"/>
      <c r="J49" s="73"/>
      <c r="K49" s="49"/>
      <c r="L49" s="50"/>
      <c r="M49" s="71"/>
      <c r="N49" s="69"/>
      <c r="O49" s="164"/>
      <c r="P49" s="25"/>
    </row>
    <row r="50" spans="3:16" ht="12.75">
      <c r="C50" s="25"/>
      <c r="D50" s="25"/>
      <c r="E50" s="70"/>
      <c r="F50" s="73"/>
      <c r="G50" s="69"/>
      <c r="H50" s="69"/>
      <c r="I50" s="75"/>
      <c r="J50" s="73"/>
      <c r="K50" s="49"/>
      <c r="L50" s="50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/>
  <autoFilter ref="A1:Q20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O2:O50">
      <formula1>Район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5.37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1.00390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4">
        <f>IF(COUNTIF(Q1:Q1000,"Введите дату рождения")&lt;&gt;0,"1","")</f>
      </c>
    </row>
    <row r="2" spans="1:18" ht="12.75" customHeight="1">
      <c r="A2" s="308">
        <v>1</v>
      </c>
      <c r="B2" s="39" t="s">
        <v>740</v>
      </c>
      <c r="C2" s="39" t="s">
        <v>741</v>
      </c>
      <c r="D2" s="39" t="s">
        <v>448</v>
      </c>
      <c r="E2" s="42" t="s">
        <v>98</v>
      </c>
      <c r="F2" s="39" t="s">
        <v>153</v>
      </c>
      <c r="G2" s="176">
        <v>8</v>
      </c>
      <c r="H2" s="270">
        <f aca="true" t="shared" si="0" ref="H2:H8">G2</f>
        <v>8</v>
      </c>
      <c r="I2" s="39"/>
      <c r="J2" s="39" t="s">
        <v>126</v>
      </c>
      <c r="K2" s="165">
        <v>16</v>
      </c>
      <c r="L2" s="39">
        <v>100</v>
      </c>
      <c r="M2" s="4">
        <f aca="true" t="shared" si="1" ref="M2:M8">K2/L2</f>
        <v>0.16</v>
      </c>
      <c r="N2" s="39" t="s">
        <v>58</v>
      </c>
      <c r="O2" s="39" t="s">
        <v>76</v>
      </c>
      <c r="P2" s="21" t="s">
        <v>25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308">
        <v>2</v>
      </c>
      <c r="B3" s="21" t="s">
        <v>743</v>
      </c>
      <c r="C3" s="39" t="s">
        <v>744</v>
      </c>
      <c r="D3" s="39" t="s">
        <v>480</v>
      </c>
      <c r="E3" s="42" t="s">
        <v>99</v>
      </c>
      <c r="F3" s="39" t="s">
        <v>153</v>
      </c>
      <c r="G3" s="176">
        <v>9</v>
      </c>
      <c r="H3" s="270">
        <f>G3</f>
        <v>9</v>
      </c>
      <c r="I3" s="39"/>
      <c r="J3" s="39" t="s">
        <v>126</v>
      </c>
      <c r="K3" s="165">
        <v>15</v>
      </c>
      <c r="L3" s="39">
        <v>100</v>
      </c>
      <c r="M3" s="4">
        <f t="shared" si="1"/>
        <v>0.15</v>
      </c>
      <c r="N3" s="39" t="s">
        <v>58</v>
      </c>
      <c r="O3" s="39" t="s">
        <v>76</v>
      </c>
      <c r="P3" s="21" t="s">
        <v>25</v>
      </c>
      <c r="Q3" s="134">
        <f>IF(G6=H6,"","Введите дату рождения")</f>
      </c>
      <c r="R3" s="271">
        <f>Отчет!$Q$4</f>
        <v>937015</v>
      </c>
    </row>
    <row r="4" spans="1:18" ht="12.75" customHeight="1">
      <c r="A4" s="198">
        <v>3</v>
      </c>
      <c r="B4" s="21" t="s">
        <v>622</v>
      </c>
      <c r="C4" s="39" t="s">
        <v>623</v>
      </c>
      <c r="D4" s="39" t="s">
        <v>374</v>
      </c>
      <c r="E4" s="42" t="s">
        <v>99</v>
      </c>
      <c r="F4" s="39" t="s">
        <v>153</v>
      </c>
      <c r="G4" s="176">
        <v>9</v>
      </c>
      <c r="H4" s="270">
        <f>G4</f>
        <v>9</v>
      </c>
      <c r="I4" s="39"/>
      <c r="J4" s="39" t="s">
        <v>126</v>
      </c>
      <c r="K4" s="165">
        <v>13</v>
      </c>
      <c r="L4" s="39">
        <v>100</v>
      </c>
      <c r="M4" s="4">
        <f t="shared" si="1"/>
        <v>0.13</v>
      </c>
      <c r="N4" s="39" t="s">
        <v>58</v>
      </c>
      <c r="O4" s="39" t="s">
        <v>76</v>
      </c>
      <c r="P4" s="21" t="s">
        <v>25</v>
      </c>
      <c r="Q4" s="134">
        <f>IF(G3=H3,"","Введите дату рождения")</f>
      </c>
      <c r="R4" s="271">
        <f>Отчет!$Q$4</f>
        <v>937015</v>
      </c>
    </row>
    <row r="5" spans="1:18" ht="12.75" customHeight="1">
      <c r="A5" s="198">
        <v>4</v>
      </c>
      <c r="B5" s="21" t="s">
        <v>745</v>
      </c>
      <c r="C5" s="39" t="s">
        <v>465</v>
      </c>
      <c r="D5" s="39" t="s">
        <v>437</v>
      </c>
      <c r="E5" s="42" t="s">
        <v>98</v>
      </c>
      <c r="F5" s="39" t="s">
        <v>153</v>
      </c>
      <c r="G5" s="176">
        <v>9</v>
      </c>
      <c r="H5" s="270">
        <f>G5</f>
        <v>9</v>
      </c>
      <c r="I5" s="39"/>
      <c r="J5" s="39" t="s">
        <v>126</v>
      </c>
      <c r="K5" s="165">
        <v>7</v>
      </c>
      <c r="L5" s="39">
        <v>100</v>
      </c>
      <c r="M5" s="4">
        <f t="shared" si="1"/>
        <v>0.07</v>
      </c>
      <c r="N5" s="39" t="s">
        <v>58</v>
      </c>
      <c r="O5" s="39" t="s">
        <v>76</v>
      </c>
      <c r="P5" s="21" t="s">
        <v>25</v>
      </c>
      <c r="Q5" s="134">
        <f>IF(G4=H4,"","Введите дату рождения")</f>
      </c>
      <c r="R5" s="271">
        <f>Отчет!$Q$4</f>
        <v>937015</v>
      </c>
    </row>
    <row r="6" spans="1:18" ht="12.75">
      <c r="A6" s="198">
        <v>5</v>
      </c>
      <c r="B6" s="39" t="s">
        <v>650</v>
      </c>
      <c r="C6" s="39" t="s">
        <v>562</v>
      </c>
      <c r="D6" s="39" t="s">
        <v>742</v>
      </c>
      <c r="E6" s="42" t="s">
        <v>99</v>
      </c>
      <c r="F6" s="39" t="s">
        <v>153</v>
      </c>
      <c r="G6" s="176">
        <v>9</v>
      </c>
      <c r="H6" s="270">
        <f>G6</f>
        <v>9</v>
      </c>
      <c r="I6" s="39"/>
      <c r="J6" s="39" t="s">
        <v>126</v>
      </c>
      <c r="K6" s="165">
        <v>4</v>
      </c>
      <c r="L6" s="39">
        <v>100</v>
      </c>
      <c r="M6" s="4">
        <f t="shared" si="1"/>
        <v>0.04</v>
      </c>
      <c r="N6" s="39" t="s">
        <v>58</v>
      </c>
      <c r="O6" s="39" t="s">
        <v>76</v>
      </c>
      <c r="P6" s="21" t="s">
        <v>25</v>
      </c>
      <c r="Q6" s="134">
        <f>IF(G5=H5,"","Введите дату рождения")</f>
      </c>
      <c r="R6" s="271">
        <f>Отчет!$Q$4</f>
        <v>937015</v>
      </c>
    </row>
    <row r="7" spans="1:18" ht="12.75">
      <c r="A7" s="198">
        <v>6</v>
      </c>
      <c r="B7" s="21" t="s">
        <v>621</v>
      </c>
      <c r="C7" s="39" t="s">
        <v>445</v>
      </c>
      <c r="D7" s="39" t="s">
        <v>496</v>
      </c>
      <c r="E7" s="42" t="s">
        <v>98</v>
      </c>
      <c r="F7" s="39" t="s">
        <v>153</v>
      </c>
      <c r="G7" s="176">
        <v>9</v>
      </c>
      <c r="H7" s="270">
        <f t="shared" si="0"/>
        <v>9</v>
      </c>
      <c r="I7" s="39"/>
      <c r="J7" s="39" t="s">
        <v>126</v>
      </c>
      <c r="K7" s="165">
        <v>3</v>
      </c>
      <c r="L7" s="39">
        <v>100</v>
      </c>
      <c r="M7" s="4">
        <f t="shared" si="1"/>
        <v>0.03</v>
      </c>
      <c r="N7" s="39" t="s">
        <v>58</v>
      </c>
      <c r="O7" s="39" t="s">
        <v>76</v>
      </c>
      <c r="P7" s="21" t="s">
        <v>25</v>
      </c>
      <c r="Q7" s="134">
        <f>IF(G7=H7,"","Введите дату рождения")</f>
      </c>
      <c r="R7" s="271">
        <f>Отчет!$Q$4</f>
        <v>937015</v>
      </c>
    </row>
    <row r="8" spans="1:18" ht="12.75" customHeight="1">
      <c r="A8" s="198">
        <v>7</v>
      </c>
      <c r="B8" s="21" t="s">
        <v>692</v>
      </c>
      <c r="C8" s="39" t="s">
        <v>695</v>
      </c>
      <c r="D8" s="39" t="s">
        <v>694</v>
      </c>
      <c r="E8" s="42" t="s">
        <v>99</v>
      </c>
      <c r="F8" s="39" t="s">
        <v>153</v>
      </c>
      <c r="G8" s="176">
        <v>11</v>
      </c>
      <c r="H8" s="270">
        <f t="shared" si="0"/>
        <v>11</v>
      </c>
      <c r="I8" s="39"/>
      <c r="J8" s="39" t="s">
        <v>126</v>
      </c>
      <c r="K8" s="165">
        <v>27</v>
      </c>
      <c r="L8" s="39">
        <v>100</v>
      </c>
      <c r="M8" s="4">
        <f t="shared" si="1"/>
        <v>0.27</v>
      </c>
      <c r="N8" s="39" t="s">
        <v>58</v>
      </c>
      <c r="O8" s="39" t="s">
        <v>76</v>
      </c>
      <c r="P8" s="21" t="s">
        <v>25</v>
      </c>
      <c r="Q8" s="134">
        <f>IF(G8=H8,"","Введите дату рождения")</f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/>
      <c r="G9" s="176"/>
      <c r="H9" s="270"/>
      <c r="I9" s="39"/>
      <c r="J9" s="39"/>
      <c r="K9" s="165"/>
      <c r="L9" s="39"/>
      <c r="M9" s="4"/>
      <c r="N9" s="39"/>
      <c r="O9" s="39"/>
      <c r="P9" s="21"/>
      <c r="Q9" s="134"/>
      <c r="R9" s="271"/>
    </row>
    <row r="10" spans="1:18" ht="12.75">
      <c r="A10" s="166"/>
      <c r="B10" s="21"/>
      <c r="C10" s="39"/>
      <c r="D10" s="39"/>
      <c r="E10" s="42"/>
      <c r="F10" s="39"/>
      <c r="G10" s="176"/>
      <c r="H10" s="270"/>
      <c r="I10" s="39"/>
      <c r="J10" s="39"/>
      <c r="K10" s="165"/>
      <c r="L10" s="39"/>
      <c r="M10" s="4"/>
      <c r="N10" s="39"/>
      <c r="O10" s="39"/>
      <c r="P10" s="21"/>
      <c r="Q10" s="134"/>
      <c r="R10" s="271"/>
    </row>
    <row r="11" spans="1:18" ht="12.75">
      <c r="A11" s="166"/>
      <c r="M11" s="4"/>
      <c r="N11" s="39"/>
      <c r="O11" s="39"/>
      <c r="P11" s="21"/>
      <c r="Q11" s="134"/>
      <c r="R11" s="271"/>
    </row>
    <row r="12" spans="1:18" ht="12.75">
      <c r="A12" s="166"/>
      <c r="B12" s="21"/>
      <c r="C12" s="39"/>
      <c r="D12" s="39"/>
      <c r="E12" s="42"/>
      <c r="F12" s="39"/>
      <c r="G12" s="176"/>
      <c r="H12" s="270"/>
      <c r="I12" s="39"/>
      <c r="J12" s="39"/>
      <c r="K12" s="165"/>
      <c r="L12" s="39"/>
      <c r="M12" s="4"/>
      <c r="N12" s="39"/>
      <c r="O12" s="39"/>
      <c r="P12" s="21"/>
      <c r="Q12" s="134"/>
      <c r="R12" s="271"/>
    </row>
    <row r="13" spans="1:18" ht="12.75">
      <c r="A13" s="166"/>
      <c r="B13" s="21"/>
      <c r="C13" s="39"/>
      <c r="D13" s="39"/>
      <c r="E13" s="42"/>
      <c r="F13" s="39"/>
      <c r="G13" s="176"/>
      <c r="H13" s="270"/>
      <c r="I13" s="39"/>
      <c r="J13" s="39"/>
      <c r="K13" s="165"/>
      <c r="L13" s="39"/>
      <c r="M13" s="4"/>
      <c r="N13" s="39"/>
      <c r="O13" s="39"/>
      <c r="P13" s="21"/>
      <c r="Q13" s="134"/>
      <c r="R13" s="271"/>
    </row>
    <row r="14" spans="1:18" ht="12.75">
      <c r="A14" s="166"/>
      <c r="B14" s="21"/>
      <c r="C14" s="39"/>
      <c r="D14" s="39"/>
      <c r="E14" s="42"/>
      <c r="F14" s="39"/>
      <c r="G14" s="176"/>
      <c r="H14" s="270"/>
      <c r="I14" s="39"/>
      <c r="J14" s="39"/>
      <c r="K14" s="165"/>
      <c r="L14" s="39"/>
      <c r="M14" s="4"/>
      <c r="N14" s="39"/>
      <c r="O14" s="39"/>
      <c r="P14" s="21"/>
      <c r="Q14" s="134"/>
      <c r="R14" s="271"/>
    </row>
    <row r="15" spans="1:18" ht="12.75">
      <c r="A15" s="166"/>
      <c r="B15" s="21"/>
      <c r="C15" s="39"/>
      <c r="D15" s="39"/>
      <c r="E15" s="42"/>
      <c r="F15" s="39"/>
      <c r="G15" s="176"/>
      <c r="H15" s="270"/>
      <c r="I15" s="39"/>
      <c r="J15" s="39"/>
      <c r="K15" s="165"/>
      <c r="L15" s="39"/>
      <c r="M15" s="4"/>
      <c r="N15" s="39"/>
      <c r="O15" s="39"/>
      <c r="P15" s="21"/>
      <c r="Q15" s="134"/>
      <c r="R15" s="271"/>
    </row>
    <row r="16" spans="1:18" ht="12.75">
      <c r="A16" s="3"/>
      <c r="B16" s="3"/>
      <c r="C16" s="3"/>
      <c r="D16" s="3"/>
      <c r="E16" s="170"/>
      <c r="F16" s="39"/>
      <c r="G16" s="176"/>
      <c r="H16" s="270"/>
      <c r="I16" s="5"/>
      <c r="J16" s="39"/>
      <c r="K16" s="5"/>
      <c r="L16" s="3"/>
      <c r="M16" s="4"/>
      <c r="N16" s="37"/>
      <c r="O16" s="39"/>
      <c r="P16" s="21"/>
      <c r="Q16" s="134"/>
      <c r="R16" s="271"/>
    </row>
    <row r="17" spans="1:18" ht="12.75">
      <c r="A17" s="3"/>
      <c r="B17" s="3"/>
      <c r="C17" s="3"/>
      <c r="D17" s="3"/>
      <c r="E17" s="170"/>
      <c r="F17" s="39"/>
      <c r="G17" s="176"/>
      <c r="H17" s="270"/>
      <c r="I17" s="5"/>
      <c r="J17" s="39"/>
      <c r="K17" s="5"/>
      <c r="L17" s="3"/>
      <c r="M17" s="4"/>
      <c r="N17" s="37"/>
      <c r="O17" s="39"/>
      <c r="P17" s="21"/>
      <c r="Q17" s="134"/>
      <c r="R17" s="271"/>
    </row>
    <row r="18" spans="1:18" ht="12.75">
      <c r="A18" s="3"/>
      <c r="B18" s="3"/>
      <c r="C18" s="3"/>
      <c r="D18" s="3"/>
      <c r="E18" s="170"/>
      <c r="F18" s="39"/>
      <c r="G18" s="176"/>
      <c r="H18" s="270"/>
      <c r="I18" s="5"/>
      <c r="J18" s="39"/>
      <c r="K18" s="5"/>
      <c r="L18" s="3"/>
      <c r="M18" s="4"/>
      <c r="N18" s="37"/>
      <c r="O18" s="39"/>
      <c r="P18" s="21"/>
      <c r="Q18" s="134"/>
      <c r="R18" s="271"/>
    </row>
    <row r="19" spans="1:18" ht="12.75">
      <c r="A19" s="106"/>
      <c r="B19" s="106"/>
      <c r="C19" s="106"/>
      <c r="D19" s="106"/>
      <c r="E19" s="171"/>
      <c r="F19" s="39"/>
      <c r="G19" s="176"/>
      <c r="H19" s="270"/>
      <c r="I19" s="108"/>
      <c r="J19" s="100"/>
      <c r="K19" s="108"/>
      <c r="L19" s="106"/>
      <c r="M19" s="4"/>
      <c r="N19" s="110"/>
      <c r="O19" s="39"/>
      <c r="P19" s="105"/>
      <c r="Q19" s="134"/>
      <c r="R19" s="271"/>
    </row>
    <row r="20" spans="1:18" ht="12.75">
      <c r="A20" s="3"/>
      <c r="B20" s="3"/>
      <c r="C20" s="3"/>
      <c r="D20" s="3"/>
      <c r="E20" s="170"/>
      <c r="F20" s="39"/>
      <c r="G20" s="176"/>
      <c r="H20" s="270"/>
      <c r="I20" s="46"/>
      <c r="J20" s="39"/>
      <c r="K20" s="163"/>
      <c r="L20" s="3"/>
      <c r="M20" s="4"/>
      <c r="N20" s="3"/>
      <c r="O20" s="39"/>
      <c r="P20" s="21"/>
      <c r="Q20" s="134"/>
      <c r="R20" s="271"/>
    </row>
    <row r="21" spans="1:16" ht="12.75">
      <c r="A21" s="69"/>
      <c r="B21" s="69"/>
      <c r="C21" s="69"/>
      <c r="D21" s="69"/>
      <c r="E21" s="70"/>
      <c r="F21" s="73"/>
      <c r="G21" s="69"/>
      <c r="H21" s="69"/>
      <c r="I21" s="49"/>
      <c r="J21" s="73"/>
      <c r="K21" s="49"/>
      <c r="L21" s="69"/>
      <c r="M21" s="71"/>
      <c r="N21" s="69"/>
      <c r="O21" s="164"/>
      <c r="P21" s="25"/>
    </row>
    <row r="22" spans="1:16" ht="12.75">
      <c r="A22" s="69"/>
      <c r="B22" s="69"/>
      <c r="C22" s="69"/>
      <c r="D22" s="69"/>
      <c r="E22" s="70"/>
      <c r="F22" s="73"/>
      <c r="G22" s="69"/>
      <c r="H22" s="69"/>
      <c r="I22" s="49"/>
      <c r="J22" s="73"/>
      <c r="K22" s="49"/>
      <c r="L22" s="69"/>
      <c r="M22" s="71"/>
      <c r="N22" s="69"/>
      <c r="O22" s="164"/>
      <c r="P22" s="25"/>
    </row>
    <row r="23" spans="1:16" ht="12.75">
      <c r="A23" s="69"/>
      <c r="B23" s="69"/>
      <c r="C23" s="69"/>
      <c r="D23" s="69"/>
      <c r="E23" s="70"/>
      <c r="F23" s="73"/>
      <c r="G23" s="69"/>
      <c r="H23" s="69"/>
      <c r="I23" s="49"/>
      <c r="J23" s="73"/>
      <c r="K23" s="49"/>
      <c r="L23" s="69"/>
      <c r="M23" s="71"/>
      <c r="N23" s="69"/>
      <c r="O23" s="164"/>
      <c r="P23" s="25"/>
    </row>
    <row r="24" spans="1:16" ht="12.75">
      <c r="A24" s="69"/>
      <c r="B24" s="69"/>
      <c r="C24" s="69"/>
      <c r="D24" s="69"/>
      <c r="E24" s="70"/>
      <c r="F24" s="73"/>
      <c r="G24" s="69"/>
      <c r="H24" s="69"/>
      <c r="I24" s="49"/>
      <c r="J24" s="73"/>
      <c r="K24" s="49"/>
      <c r="L24" s="69"/>
      <c r="M24" s="71"/>
      <c r="N24" s="69"/>
      <c r="O24" s="164"/>
      <c r="P24" s="25"/>
    </row>
    <row r="25" spans="1:16" ht="12.75">
      <c r="A25" s="69"/>
      <c r="B25" s="69"/>
      <c r="C25" s="69"/>
      <c r="D25" s="69"/>
      <c r="E25" s="70"/>
      <c r="F25" s="73"/>
      <c r="G25" s="69"/>
      <c r="H25" s="69"/>
      <c r="I25" s="49"/>
      <c r="J25" s="73"/>
      <c r="K25" s="49"/>
      <c r="L25" s="69"/>
      <c r="M25" s="71"/>
      <c r="N25" s="69"/>
      <c r="O25" s="164"/>
      <c r="P25" s="25"/>
    </row>
    <row r="26" spans="1:16" ht="12.75">
      <c r="A26" s="69"/>
      <c r="B26" s="69"/>
      <c r="C26" s="69"/>
      <c r="D26" s="69"/>
      <c r="E26" s="70"/>
      <c r="F26" s="73"/>
      <c r="G26" s="69"/>
      <c r="H26" s="69"/>
      <c r="I26" s="49"/>
      <c r="J26" s="73"/>
      <c r="K26" s="49"/>
      <c r="L26" s="69"/>
      <c r="M26" s="71"/>
      <c r="N26" s="69"/>
      <c r="O26" s="164"/>
      <c r="P26" s="25"/>
    </row>
    <row r="27" spans="1:16" ht="12.75">
      <c r="A27" s="69"/>
      <c r="B27" s="69"/>
      <c r="C27" s="69"/>
      <c r="D27" s="69"/>
      <c r="E27" s="70"/>
      <c r="F27" s="73"/>
      <c r="G27" s="69"/>
      <c r="H27" s="69"/>
      <c r="I27" s="49"/>
      <c r="J27" s="73"/>
      <c r="K27" s="49"/>
      <c r="L27" s="69"/>
      <c r="M27" s="71"/>
      <c r="N27" s="69"/>
      <c r="O27" s="164"/>
      <c r="P27" s="25"/>
    </row>
    <row r="28" spans="1:16" ht="12.75">
      <c r="A28" s="69"/>
      <c r="B28" s="69"/>
      <c r="C28" s="69"/>
      <c r="D28" s="69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69"/>
      <c r="B29" s="69"/>
      <c r="C29" s="69"/>
      <c r="D29" s="69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69"/>
      <c r="B30" s="69"/>
      <c r="C30" s="69"/>
      <c r="D30" s="69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69"/>
      <c r="B31" s="69"/>
      <c r="C31" s="69"/>
      <c r="D31" s="69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69"/>
      <c r="B32" s="69"/>
      <c r="C32" s="69"/>
      <c r="D32" s="69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69"/>
      <c r="B33" s="69"/>
      <c r="C33" s="69"/>
      <c r="D33" s="69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69"/>
      <c r="D34" s="69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69"/>
      <c r="D35" s="69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69"/>
      <c r="D36" s="69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69"/>
      <c r="D37" s="69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69"/>
      <c r="D38" s="69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69"/>
      <c r="D39" s="69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69"/>
      <c r="D40" s="69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69"/>
      <c r="D41" s="69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69"/>
      <c r="D42" s="69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69"/>
      <c r="D43" s="69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69"/>
      <c r="D44" s="69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69"/>
      <c r="D45" s="69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69"/>
      <c r="D46" s="69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69"/>
      <c r="D47" s="69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69"/>
      <c r="D48" s="69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69"/>
      <c r="D49" s="69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69"/>
      <c r="D50" s="69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10 E1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10 I1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10 F12:F50">
      <formula1>ОУ</formula1>
    </dataValidation>
    <dataValidation type="list" allowBlank="1" showInputMessage="1" showErrorMessage="1" sqref="J2:J10 J1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I8" sqref="I8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7.1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3">
        <f>IF(COUNTIF(Q1:Q1000,"Введите дату рождения")&lt;&gt;0,"1","")</f>
      </c>
    </row>
    <row r="2" spans="1:18" ht="12.75">
      <c r="A2" s="42"/>
      <c r="B2" s="39"/>
      <c r="C2" s="39"/>
      <c r="D2" s="39"/>
      <c r="E2" s="42"/>
      <c r="F2" s="39" t="str">
        <f>Отчет!$C$4</f>
        <v>МБОУ СОШ № 153</v>
      </c>
      <c r="G2" s="176"/>
      <c r="H2" s="270">
        <f aca="true" t="shared" si="0" ref="H2:H20">G2</f>
        <v>0</v>
      </c>
      <c r="I2" s="39"/>
      <c r="J2" s="39"/>
      <c r="K2" s="165"/>
      <c r="L2" s="39"/>
      <c r="M2" s="4" t="e">
        <f aca="true" t="shared" si="1" ref="M2:M20">K2/L2</f>
        <v>#DIV/0!</v>
      </c>
      <c r="N2" s="39"/>
      <c r="O2" s="39"/>
      <c r="P2" s="21" t="s">
        <v>85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 t="str">
        <f>Отчет!$C$4</f>
        <v>МБОУ СОШ № 153</v>
      </c>
      <c r="G3" s="176"/>
      <c r="H3" s="270">
        <f t="shared" si="0"/>
        <v>0</v>
      </c>
      <c r="I3" s="39"/>
      <c r="J3" s="39"/>
      <c r="K3" s="165"/>
      <c r="L3" s="39"/>
      <c r="M3" s="4" t="e">
        <f t="shared" si="1"/>
        <v>#DIV/0!</v>
      </c>
      <c r="N3" s="39"/>
      <c r="O3" s="39"/>
      <c r="P3" s="21" t="s">
        <v>85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>
      <c r="A4" s="166"/>
      <c r="B4" s="21"/>
      <c r="C4" s="39"/>
      <c r="D4" s="39"/>
      <c r="E4" s="42"/>
      <c r="F4" s="39" t="str">
        <f>Отчет!$C$4</f>
        <v>МБОУ СОШ № 153</v>
      </c>
      <c r="G4" s="176"/>
      <c r="H4" s="270">
        <f t="shared" si="0"/>
        <v>0</v>
      </c>
      <c r="I4" s="39"/>
      <c r="J4" s="39"/>
      <c r="K4" s="165"/>
      <c r="L4" s="39"/>
      <c r="M4" s="4" t="e">
        <f t="shared" si="1"/>
        <v>#DIV/0!</v>
      </c>
      <c r="N4" s="39"/>
      <c r="O4" s="39"/>
      <c r="P4" s="21" t="s">
        <v>85</v>
      </c>
      <c r="Q4" s="134">
        <f t="shared" si="2"/>
      </c>
      <c r="R4" s="271">
        <f>Отчет!$Q$4</f>
        <v>937015</v>
      </c>
    </row>
    <row r="5" spans="1:18" ht="12.75">
      <c r="A5" s="166"/>
      <c r="B5" s="21"/>
      <c r="C5" s="39"/>
      <c r="D5" s="39"/>
      <c r="E5" s="42"/>
      <c r="F5" s="39" t="str">
        <f>Отчет!$C$4</f>
        <v>МБОУ СОШ № 153</v>
      </c>
      <c r="G5" s="176"/>
      <c r="H5" s="270">
        <f t="shared" si="0"/>
        <v>0</v>
      </c>
      <c r="I5" s="39"/>
      <c r="J5" s="39"/>
      <c r="K5" s="165"/>
      <c r="L5" s="39"/>
      <c r="M5" s="4" t="e">
        <f t="shared" si="1"/>
        <v>#DIV/0!</v>
      </c>
      <c r="N5" s="39"/>
      <c r="O5" s="39"/>
      <c r="P5" s="21" t="s">
        <v>85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 t="str">
        <f>Отчет!$C$4</f>
        <v>МБОУ СОШ № 153</v>
      </c>
      <c r="G6" s="176"/>
      <c r="H6" s="270">
        <f t="shared" si="0"/>
        <v>0</v>
      </c>
      <c r="I6" s="39"/>
      <c r="J6" s="39"/>
      <c r="K6" s="165"/>
      <c r="L6" s="39"/>
      <c r="M6" s="4" t="e">
        <f t="shared" si="1"/>
        <v>#DIV/0!</v>
      </c>
      <c r="N6" s="39"/>
      <c r="O6" s="39"/>
      <c r="P6" s="21" t="s">
        <v>85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 t="str">
        <f>Отчет!$C$4</f>
        <v>МБОУ СОШ № 153</v>
      </c>
      <c r="G7" s="176"/>
      <c r="H7" s="270">
        <f t="shared" si="0"/>
        <v>0</v>
      </c>
      <c r="I7" s="39"/>
      <c r="J7" s="39"/>
      <c r="K7" s="165"/>
      <c r="L7" s="39"/>
      <c r="M7" s="4" t="e">
        <f t="shared" si="1"/>
        <v>#DIV/0!</v>
      </c>
      <c r="N7" s="39"/>
      <c r="O7" s="39"/>
      <c r="P7" s="21" t="s">
        <v>85</v>
      </c>
      <c r="Q7" s="134">
        <f t="shared" si="2"/>
      </c>
      <c r="R7" s="271">
        <f>Отчет!$Q$4</f>
        <v>937015</v>
      </c>
    </row>
    <row r="8" spans="1:18" ht="12.75">
      <c r="A8" s="166"/>
      <c r="B8" s="21"/>
      <c r="C8" s="39"/>
      <c r="D8" s="39"/>
      <c r="E8" s="42"/>
      <c r="F8" s="39" t="str">
        <f>Отчет!$C$4</f>
        <v>МБОУ СОШ № 153</v>
      </c>
      <c r="G8" s="176"/>
      <c r="H8" s="270">
        <f t="shared" si="0"/>
        <v>0</v>
      </c>
      <c r="I8" s="39"/>
      <c r="J8" s="39"/>
      <c r="K8" s="165"/>
      <c r="L8" s="39"/>
      <c r="M8" s="4" t="e">
        <f t="shared" si="1"/>
        <v>#DIV/0!</v>
      </c>
      <c r="N8" s="39"/>
      <c r="O8" s="39"/>
      <c r="P8" s="21" t="s">
        <v>85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 t="str">
        <f>Отчет!$C$4</f>
        <v>МБОУ СОШ № 153</v>
      </c>
      <c r="G9" s="176"/>
      <c r="H9" s="270">
        <f t="shared" si="0"/>
        <v>0</v>
      </c>
      <c r="I9" s="39"/>
      <c r="J9" s="39"/>
      <c r="K9" s="165"/>
      <c r="L9" s="39"/>
      <c r="M9" s="4" t="e">
        <f t="shared" si="1"/>
        <v>#DIV/0!</v>
      </c>
      <c r="N9" s="39"/>
      <c r="O9" s="39"/>
      <c r="P9" s="21" t="s">
        <v>85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 t="str">
        <f>Отчет!$C$4</f>
        <v>МБОУ СОШ № 153</v>
      </c>
      <c r="G10" s="176"/>
      <c r="H10" s="270">
        <f t="shared" si="0"/>
        <v>0</v>
      </c>
      <c r="I10" s="39"/>
      <c r="J10" s="39"/>
      <c r="K10" s="165"/>
      <c r="L10" s="39"/>
      <c r="M10" s="4" t="e">
        <f t="shared" si="1"/>
        <v>#DIV/0!</v>
      </c>
      <c r="N10" s="39"/>
      <c r="O10" s="39"/>
      <c r="P10" s="21" t="s">
        <v>85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 t="str">
        <f>Отчет!$C$4</f>
        <v>МБОУ СОШ № 153</v>
      </c>
      <c r="G11" s="176"/>
      <c r="H11" s="270">
        <f t="shared" si="0"/>
        <v>0</v>
      </c>
      <c r="I11" s="39"/>
      <c r="J11" s="39"/>
      <c r="K11" s="165"/>
      <c r="L11" s="39"/>
      <c r="M11" s="4" t="e">
        <f t="shared" si="1"/>
        <v>#DIV/0!</v>
      </c>
      <c r="N11" s="39"/>
      <c r="O11" s="39"/>
      <c r="P11" s="21" t="s">
        <v>85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 t="str">
        <f>Отчет!$C$4</f>
        <v>МБОУ СОШ № 153</v>
      </c>
      <c r="G12" s="176"/>
      <c r="H12" s="270">
        <f t="shared" si="0"/>
        <v>0</v>
      </c>
      <c r="I12" s="39"/>
      <c r="J12" s="39"/>
      <c r="K12" s="165"/>
      <c r="L12" s="39"/>
      <c r="M12" s="4" t="e">
        <f t="shared" si="1"/>
        <v>#DIV/0!</v>
      </c>
      <c r="N12" s="39"/>
      <c r="O12" s="39"/>
      <c r="P12" s="21" t="s">
        <v>85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 t="str">
        <f>Отчет!$C$4</f>
        <v>МБОУ СОШ № 153</v>
      </c>
      <c r="G13" s="176"/>
      <c r="H13" s="270">
        <f t="shared" si="0"/>
        <v>0</v>
      </c>
      <c r="I13" s="39"/>
      <c r="J13" s="39"/>
      <c r="K13" s="165"/>
      <c r="L13" s="39"/>
      <c r="M13" s="4" t="e">
        <f t="shared" si="1"/>
        <v>#DIV/0!</v>
      </c>
      <c r="N13" s="39"/>
      <c r="O13" s="39"/>
      <c r="P13" s="21" t="s">
        <v>85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 t="str">
        <f>Отчет!$C$4</f>
        <v>МБОУ СОШ № 153</v>
      </c>
      <c r="G14" s="176"/>
      <c r="H14" s="270">
        <f t="shared" si="0"/>
        <v>0</v>
      </c>
      <c r="I14" s="39"/>
      <c r="J14" s="39"/>
      <c r="K14" s="165"/>
      <c r="L14" s="39"/>
      <c r="M14" s="4" t="e">
        <f t="shared" si="1"/>
        <v>#DIV/0!</v>
      </c>
      <c r="N14" s="39"/>
      <c r="O14" s="39"/>
      <c r="P14" s="21" t="s">
        <v>85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 t="str">
        <f>Отчет!$C$4</f>
        <v>МБОУ СОШ № 153</v>
      </c>
      <c r="G15" s="176"/>
      <c r="H15" s="270">
        <f t="shared" si="0"/>
        <v>0</v>
      </c>
      <c r="I15" s="39"/>
      <c r="J15" s="39"/>
      <c r="K15" s="165"/>
      <c r="L15" s="39"/>
      <c r="M15" s="4" t="e">
        <f t="shared" si="1"/>
        <v>#DIV/0!</v>
      </c>
      <c r="N15" s="39"/>
      <c r="O15" s="39"/>
      <c r="P15" s="21" t="s">
        <v>85</v>
      </c>
      <c r="Q15" s="134">
        <f t="shared" si="2"/>
      </c>
      <c r="R15" s="271">
        <f>Отчет!$Q$4</f>
        <v>937015</v>
      </c>
    </row>
    <row r="16" spans="1:18" ht="12.75">
      <c r="A16" s="21"/>
      <c r="B16" s="39"/>
      <c r="C16" s="39"/>
      <c r="D16" s="39"/>
      <c r="E16" s="42"/>
      <c r="F16" s="39" t="str">
        <f>Отчет!$C$4</f>
        <v>МБОУ СОШ № 153</v>
      </c>
      <c r="G16" s="176"/>
      <c r="H16" s="270">
        <f t="shared" si="0"/>
        <v>0</v>
      </c>
      <c r="I16" s="5"/>
      <c r="J16" s="39"/>
      <c r="K16" s="5"/>
      <c r="L16" s="3"/>
      <c r="M16" s="4" t="e">
        <f t="shared" si="1"/>
        <v>#DIV/0!</v>
      </c>
      <c r="N16" s="3"/>
      <c r="O16" s="39"/>
      <c r="P16" s="21" t="s">
        <v>85</v>
      </c>
      <c r="Q16" s="134">
        <f t="shared" si="2"/>
      </c>
      <c r="R16" s="271">
        <f>Отчет!$Q$4</f>
        <v>937015</v>
      </c>
    </row>
    <row r="17" spans="1:18" ht="12.75">
      <c r="A17" s="21"/>
      <c r="B17" s="39"/>
      <c r="C17" s="39"/>
      <c r="D17" s="39"/>
      <c r="E17" s="42"/>
      <c r="F17" s="39" t="str">
        <f>Отчет!$C$4</f>
        <v>МБОУ СОШ № 153</v>
      </c>
      <c r="G17" s="176"/>
      <c r="H17" s="270">
        <f t="shared" si="0"/>
        <v>0</v>
      </c>
      <c r="I17" s="5"/>
      <c r="J17" s="39"/>
      <c r="K17" s="5"/>
      <c r="L17" s="3"/>
      <c r="M17" s="4" t="e">
        <f t="shared" si="1"/>
        <v>#DIV/0!</v>
      </c>
      <c r="N17" s="3"/>
      <c r="O17" s="39"/>
      <c r="P17" s="21" t="s">
        <v>85</v>
      </c>
      <c r="Q17" s="134">
        <f t="shared" si="2"/>
      </c>
      <c r="R17" s="271">
        <f>Отчет!$Q$4</f>
        <v>937015</v>
      </c>
    </row>
    <row r="18" spans="1:18" ht="12.75">
      <c r="A18" s="21"/>
      <c r="B18" s="39"/>
      <c r="C18" s="39"/>
      <c r="D18" s="39"/>
      <c r="E18" s="42"/>
      <c r="F18" s="39" t="str">
        <f>Отчет!$C$4</f>
        <v>МБОУ СОШ № 153</v>
      </c>
      <c r="G18" s="176"/>
      <c r="H18" s="270">
        <f t="shared" si="0"/>
        <v>0</v>
      </c>
      <c r="I18" s="5"/>
      <c r="J18" s="39"/>
      <c r="K18" s="5"/>
      <c r="L18" s="3"/>
      <c r="M18" s="4" t="e">
        <f t="shared" si="1"/>
        <v>#DIV/0!</v>
      </c>
      <c r="N18" s="3"/>
      <c r="O18" s="39"/>
      <c r="P18" s="21" t="s">
        <v>85</v>
      </c>
      <c r="Q18" s="134">
        <f t="shared" si="2"/>
      </c>
      <c r="R18" s="271">
        <f>Отчет!$Q$4</f>
        <v>937015</v>
      </c>
    </row>
    <row r="19" spans="1:18" ht="12.75">
      <c r="A19" s="105"/>
      <c r="B19" s="100"/>
      <c r="C19" s="100"/>
      <c r="D19" s="100"/>
      <c r="E19" s="104"/>
      <c r="F19" s="39" t="str">
        <f>Отчет!$C$4</f>
        <v>МБОУ СОШ № 153</v>
      </c>
      <c r="G19" s="176"/>
      <c r="H19" s="270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06"/>
      <c r="O19" s="39"/>
      <c r="P19" s="105" t="s">
        <v>85</v>
      </c>
      <c r="Q19" s="134">
        <f t="shared" si="2"/>
      </c>
      <c r="R19" s="271">
        <f>Отчет!$Q$4</f>
        <v>937015</v>
      </c>
    </row>
    <row r="20" spans="1:18" ht="12.75">
      <c r="A20" s="21"/>
      <c r="B20" s="39"/>
      <c r="C20" s="39"/>
      <c r="D20" s="39"/>
      <c r="E20" s="42"/>
      <c r="F20" s="39" t="str">
        <f>Отчет!$C$4</f>
        <v>МБОУ СОШ № 153</v>
      </c>
      <c r="G20" s="176"/>
      <c r="H20" s="270">
        <f t="shared" si="0"/>
        <v>0</v>
      </c>
      <c r="I20" s="46"/>
      <c r="J20" s="39"/>
      <c r="K20" s="163"/>
      <c r="L20" s="3"/>
      <c r="M20" s="4" t="e">
        <f t="shared" si="1"/>
        <v>#DIV/0!</v>
      </c>
      <c r="N20" s="3"/>
      <c r="O20" s="39"/>
      <c r="P20" s="21" t="s">
        <v>85</v>
      </c>
      <c r="Q20" s="134">
        <f t="shared" si="2"/>
      </c>
      <c r="R20" s="271">
        <f>Отчет!$Q$4</f>
        <v>937015</v>
      </c>
    </row>
    <row r="21" spans="1:16" ht="12.75">
      <c r="A21" s="25"/>
      <c r="B21" s="73"/>
      <c r="C21" s="73"/>
      <c r="D21" s="73"/>
      <c r="E21" s="73"/>
      <c r="F21" s="73"/>
      <c r="G21" s="120"/>
      <c r="H21" s="120"/>
      <c r="I21" s="49"/>
      <c r="J21" s="73"/>
      <c r="K21" s="49"/>
      <c r="L21" s="69"/>
      <c r="M21" s="71"/>
      <c r="N21" s="69"/>
      <c r="O21" s="164"/>
      <c r="P21" s="25"/>
    </row>
    <row r="22" spans="1:16" ht="12.75">
      <c r="A22" s="25"/>
      <c r="B22" s="73"/>
      <c r="C22" s="73"/>
      <c r="D22" s="73"/>
      <c r="E22" s="73"/>
      <c r="F22" s="73"/>
      <c r="G22" s="120"/>
      <c r="H22" s="120"/>
      <c r="I22" s="49"/>
      <c r="J22" s="73"/>
      <c r="K22" s="49"/>
      <c r="L22" s="69"/>
      <c r="M22" s="71"/>
      <c r="N22" s="69"/>
      <c r="O22" s="164"/>
      <c r="P22" s="25"/>
    </row>
    <row r="23" spans="1:16" ht="12.75">
      <c r="A23" s="25"/>
      <c r="B23" s="73"/>
      <c r="C23" s="73"/>
      <c r="D23" s="73"/>
      <c r="E23" s="73"/>
      <c r="F23" s="73"/>
      <c r="G23" s="120"/>
      <c r="H23" s="120"/>
      <c r="I23" s="49"/>
      <c r="J23" s="73"/>
      <c r="K23" s="49"/>
      <c r="L23" s="69"/>
      <c r="M23" s="71"/>
      <c r="N23" s="69"/>
      <c r="O23" s="164"/>
      <c r="P23" s="25"/>
    </row>
    <row r="24" spans="1:16" ht="12.75">
      <c r="A24" s="25"/>
      <c r="B24" s="73"/>
      <c r="C24" s="73"/>
      <c r="D24" s="73"/>
      <c r="E24" s="73"/>
      <c r="F24" s="73"/>
      <c r="G24" s="120"/>
      <c r="H24" s="120"/>
      <c r="I24" s="49"/>
      <c r="J24" s="73"/>
      <c r="K24" s="49"/>
      <c r="L24" s="69"/>
      <c r="M24" s="71"/>
      <c r="N24" s="69"/>
      <c r="O24" s="164"/>
      <c r="P24" s="25"/>
    </row>
    <row r="25" spans="1:16" ht="12.75">
      <c r="A25" s="25"/>
      <c r="B25" s="73"/>
      <c r="C25" s="73"/>
      <c r="D25" s="73"/>
      <c r="E25" s="73"/>
      <c r="F25" s="73"/>
      <c r="G25" s="120"/>
      <c r="H25" s="120"/>
      <c r="I25" s="49"/>
      <c r="J25" s="73"/>
      <c r="K25" s="49"/>
      <c r="L25" s="69"/>
      <c r="M25" s="71"/>
      <c r="N25" s="69"/>
      <c r="O25" s="164"/>
      <c r="P25" s="25"/>
    </row>
    <row r="26" spans="1:16" ht="12.75">
      <c r="A26" s="25"/>
      <c r="B26" s="73"/>
      <c r="C26" s="73"/>
      <c r="D26" s="73"/>
      <c r="E26" s="73"/>
      <c r="F26" s="73"/>
      <c r="G26" s="120"/>
      <c r="H26" s="120"/>
      <c r="I26" s="49"/>
      <c r="J26" s="73"/>
      <c r="K26" s="49"/>
      <c r="L26" s="69"/>
      <c r="M26" s="71"/>
      <c r="N26" s="69"/>
      <c r="O26" s="164"/>
      <c r="P26" s="25"/>
    </row>
    <row r="27" spans="1:16" ht="12.75">
      <c r="A27" s="25"/>
      <c r="B27" s="73"/>
      <c r="C27" s="73"/>
      <c r="D27" s="73"/>
      <c r="E27" s="73"/>
      <c r="F27" s="73"/>
      <c r="G27" s="120"/>
      <c r="H27" s="120"/>
      <c r="I27" s="49"/>
      <c r="J27" s="73"/>
      <c r="K27" s="49"/>
      <c r="L27" s="69"/>
      <c r="M27" s="71"/>
      <c r="N27" s="69"/>
      <c r="O27" s="164"/>
      <c r="P27" s="25"/>
    </row>
    <row r="28" spans="1:16" ht="12.75">
      <c r="A28" s="25"/>
      <c r="B28" s="73"/>
      <c r="C28" s="73"/>
      <c r="D28" s="73"/>
      <c r="E28" s="73"/>
      <c r="F28" s="73"/>
      <c r="G28" s="120"/>
      <c r="H28" s="120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25"/>
      <c r="B29" s="73"/>
      <c r="C29" s="73"/>
      <c r="D29" s="73"/>
      <c r="E29" s="73"/>
      <c r="F29" s="73"/>
      <c r="G29" s="120"/>
      <c r="H29" s="120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25"/>
      <c r="B30" s="73"/>
      <c r="C30" s="73"/>
      <c r="D30" s="73"/>
      <c r="E30" s="73"/>
      <c r="F30" s="73"/>
      <c r="G30" s="120"/>
      <c r="H30" s="120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25"/>
      <c r="B31" s="73"/>
      <c r="C31" s="73"/>
      <c r="D31" s="73"/>
      <c r="E31" s="73"/>
      <c r="F31" s="73"/>
      <c r="G31" s="120"/>
      <c r="H31" s="120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25"/>
      <c r="B32" s="73"/>
      <c r="C32" s="73"/>
      <c r="D32" s="73"/>
      <c r="E32" s="73"/>
      <c r="F32" s="73"/>
      <c r="G32" s="120"/>
      <c r="H32" s="120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25"/>
      <c r="B33" s="73"/>
      <c r="C33" s="73"/>
      <c r="D33" s="73"/>
      <c r="E33" s="73"/>
      <c r="F33" s="73"/>
      <c r="G33" s="120"/>
      <c r="H33" s="120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73"/>
      <c r="D34" s="73"/>
      <c r="E34" s="73"/>
      <c r="F34" s="73"/>
      <c r="G34" s="120"/>
      <c r="H34" s="120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73"/>
      <c r="D35" s="73"/>
      <c r="E35" s="73"/>
      <c r="F35" s="73"/>
      <c r="G35" s="120"/>
      <c r="H35" s="120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73"/>
      <c r="D36" s="73"/>
      <c r="E36" s="73"/>
      <c r="F36" s="73"/>
      <c r="G36" s="120"/>
      <c r="H36" s="120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73"/>
      <c r="D37" s="73"/>
      <c r="E37" s="73"/>
      <c r="F37" s="73"/>
      <c r="G37" s="120"/>
      <c r="H37" s="120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73"/>
      <c r="D38" s="73"/>
      <c r="E38" s="73"/>
      <c r="F38" s="73"/>
      <c r="G38" s="120"/>
      <c r="H38" s="120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73"/>
      <c r="D39" s="73"/>
      <c r="E39" s="73"/>
      <c r="F39" s="73"/>
      <c r="G39" s="120"/>
      <c r="H39" s="120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73"/>
      <c r="D40" s="73"/>
      <c r="E40" s="73"/>
      <c r="F40" s="73"/>
      <c r="G40" s="120"/>
      <c r="H40" s="120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73"/>
      <c r="D41" s="73"/>
      <c r="E41" s="73"/>
      <c r="F41" s="73"/>
      <c r="G41" s="120"/>
      <c r="H41" s="120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73"/>
      <c r="D42" s="73"/>
      <c r="E42" s="73"/>
      <c r="F42" s="73"/>
      <c r="G42" s="120"/>
      <c r="H42" s="120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73"/>
      <c r="D43" s="73"/>
      <c r="E43" s="73"/>
      <c r="F43" s="73"/>
      <c r="G43" s="120"/>
      <c r="H43" s="120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73"/>
      <c r="D44" s="73"/>
      <c r="E44" s="73"/>
      <c r="F44" s="73"/>
      <c r="G44" s="120"/>
      <c r="H44" s="120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73"/>
      <c r="D45" s="73"/>
      <c r="E45" s="73"/>
      <c r="F45" s="73"/>
      <c r="G45" s="120"/>
      <c r="H45" s="120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73"/>
      <c r="D46" s="73"/>
      <c r="E46" s="73"/>
      <c r="F46" s="73"/>
      <c r="G46" s="120"/>
      <c r="H46" s="120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73"/>
      <c r="D47" s="73"/>
      <c r="E47" s="73"/>
      <c r="F47" s="73"/>
      <c r="G47" s="120"/>
      <c r="H47" s="120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73"/>
      <c r="D48" s="73"/>
      <c r="E48" s="73"/>
      <c r="F48" s="73"/>
      <c r="G48" s="120"/>
      <c r="H48" s="120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73"/>
      <c r="D49" s="73"/>
      <c r="E49" s="73"/>
      <c r="F49" s="73"/>
      <c r="G49" s="120"/>
      <c r="H49" s="120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73"/>
      <c r="D50" s="73"/>
      <c r="E50" s="73"/>
      <c r="F50" s="73"/>
      <c r="G50" s="120"/>
      <c r="H50" s="120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7">
    <dataValidation type="list" allowBlank="1" showInputMessage="1" showErrorMessage="1" sqref="E2:E50">
      <formula1>Пол</formula1>
    </dataValidation>
    <dataValidation type="list" allowBlank="1" showErrorMessage="1" sqref="N16:N50">
      <formula1>Статус</formula1>
      <formula2>0</formula2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N2:N15">
      <formula1>Статус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7.1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2">
        <f>IF(COUNTIF(Q1:Q1000,"Введите дату рождения")&lt;&gt;0,"1","")</f>
      </c>
    </row>
    <row r="2" spans="1:18" ht="12.75">
      <c r="A2" s="42">
        <v>1</v>
      </c>
      <c r="B2" s="39" t="s">
        <v>567</v>
      </c>
      <c r="C2" s="39" t="s">
        <v>568</v>
      </c>
      <c r="D2" s="39" t="s">
        <v>474</v>
      </c>
      <c r="E2" s="42" t="s">
        <v>99</v>
      </c>
      <c r="F2" s="39" t="str">
        <f>Отчет!$C$4</f>
        <v>МБОУ СОШ № 153</v>
      </c>
      <c r="G2" s="176">
        <v>7</v>
      </c>
      <c r="H2" s="270">
        <v>7</v>
      </c>
      <c r="I2" s="39"/>
      <c r="J2" s="39" t="s">
        <v>126</v>
      </c>
      <c r="K2" s="165">
        <v>20</v>
      </c>
      <c r="L2" s="39">
        <v>55</v>
      </c>
      <c r="M2" s="4">
        <f>K2/L2</f>
        <v>0.36363636363636365</v>
      </c>
      <c r="N2" s="39" t="s">
        <v>58</v>
      </c>
      <c r="O2" s="39" t="s">
        <v>76</v>
      </c>
      <c r="P2" s="21" t="s">
        <v>86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/>
      <c r="G3" s="176"/>
      <c r="H3" s="270"/>
      <c r="I3" s="39"/>
      <c r="J3" s="39"/>
      <c r="K3" s="165"/>
      <c r="L3" s="39"/>
      <c r="M3" s="4"/>
      <c r="N3" s="39"/>
      <c r="O3" s="39"/>
      <c r="P3" s="21"/>
      <c r="Q3" s="134"/>
      <c r="R3" s="271"/>
    </row>
    <row r="4" spans="1:18" ht="12.75">
      <c r="A4" s="166"/>
      <c r="B4" s="21"/>
      <c r="C4" s="39"/>
      <c r="D4" s="39"/>
      <c r="E4" s="42"/>
      <c r="F4" s="39"/>
      <c r="G4" s="176"/>
      <c r="H4" s="270"/>
      <c r="I4" s="39"/>
      <c r="J4" s="39"/>
      <c r="K4" s="165"/>
      <c r="L4" s="39"/>
      <c r="M4" s="4"/>
      <c r="N4" s="39"/>
      <c r="O4" s="39"/>
      <c r="P4" s="21"/>
      <c r="Q4" s="134"/>
      <c r="R4" s="271"/>
    </row>
    <row r="5" spans="1:18" ht="12.75">
      <c r="A5" s="166"/>
      <c r="B5" s="21"/>
      <c r="C5" s="39"/>
      <c r="D5" s="39"/>
      <c r="E5" s="42"/>
      <c r="F5" s="39"/>
      <c r="G5" s="176"/>
      <c r="H5" s="270"/>
      <c r="I5" s="39"/>
      <c r="J5" s="39"/>
      <c r="K5" s="165"/>
      <c r="L5" s="39"/>
      <c r="M5" s="4"/>
      <c r="N5" s="39"/>
      <c r="O5" s="39"/>
      <c r="P5" s="21"/>
      <c r="Q5" s="134"/>
      <c r="R5" s="271"/>
    </row>
    <row r="6" spans="1:18" ht="12.75">
      <c r="A6" s="166"/>
      <c r="B6" s="21"/>
      <c r="C6" s="39"/>
      <c r="D6" s="39"/>
      <c r="E6" s="42"/>
      <c r="F6" s="39"/>
      <c r="G6" s="176"/>
      <c r="H6" s="270"/>
      <c r="I6" s="39"/>
      <c r="J6" s="39"/>
      <c r="K6" s="165"/>
      <c r="L6" s="39"/>
      <c r="M6" s="4"/>
      <c r="N6" s="39"/>
      <c r="O6" s="39"/>
      <c r="P6" s="21"/>
      <c r="Q6" s="134"/>
      <c r="R6" s="271"/>
    </row>
    <row r="7" spans="1:18" ht="12.75">
      <c r="A7" s="166"/>
      <c r="B7" s="21"/>
      <c r="C7" s="39"/>
      <c r="D7" s="39"/>
      <c r="E7" s="42"/>
      <c r="F7" s="39"/>
      <c r="G7" s="176"/>
      <c r="H7" s="270"/>
      <c r="I7" s="39"/>
      <c r="J7" s="39"/>
      <c r="K7" s="165"/>
      <c r="L7" s="39"/>
      <c r="M7" s="4"/>
      <c r="N7" s="39"/>
      <c r="O7" s="39"/>
      <c r="P7" s="21"/>
      <c r="Q7" s="134"/>
      <c r="R7" s="271"/>
    </row>
    <row r="8" spans="1:18" ht="12.75">
      <c r="A8" s="166"/>
      <c r="B8" s="21"/>
      <c r="C8" s="39"/>
      <c r="D8" s="39"/>
      <c r="E8" s="42"/>
      <c r="F8" s="39"/>
      <c r="G8" s="176"/>
      <c r="H8" s="270"/>
      <c r="I8" s="39"/>
      <c r="J8" s="39"/>
      <c r="K8" s="165"/>
      <c r="L8" s="39"/>
      <c r="M8" s="4"/>
      <c r="N8" s="39"/>
      <c r="O8" s="39"/>
      <c r="P8" s="21"/>
      <c r="Q8" s="134"/>
      <c r="R8" s="271"/>
    </row>
    <row r="9" spans="1:18" ht="12.75">
      <c r="A9" s="166"/>
      <c r="B9" s="21"/>
      <c r="C9" s="39"/>
      <c r="D9" s="39"/>
      <c r="E9" s="42"/>
      <c r="F9" s="39"/>
      <c r="G9" s="176"/>
      <c r="H9" s="270"/>
      <c r="I9" s="39"/>
      <c r="J9" s="39"/>
      <c r="K9" s="165"/>
      <c r="L9" s="39"/>
      <c r="M9" s="4"/>
      <c r="N9" s="39"/>
      <c r="O9" s="39"/>
      <c r="P9" s="21"/>
      <c r="Q9" s="134"/>
      <c r="R9" s="271"/>
    </row>
    <row r="10" spans="1:18" ht="12.75">
      <c r="A10" s="166"/>
      <c r="B10" s="21"/>
      <c r="C10" s="39"/>
      <c r="D10" s="39"/>
      <c r="E10" s="42"/>
      <c r="F10" s="39"/>
      <c r="G10" s="176"/>
      <c r="H10" s="270"/>
      <c r="I10" s="39"/>
      <c r="J10" s="39"/>
      <c r="K10" s="165"/>
      <c r="L10" s="39"/>
      <c r="M10" s="4"/>
      <c r="N10" s="39"/>
      <c r="O10" s="39"/>
      <c r="P10" s="21"/>
      <c r="Q10" s="134"/>
      <c r="R10" s="271"/>
    </row>
    <row r="11" spans="1:18" ht="12.75">
      <c r="A11" s="166"/>
      <c r="B11" s="21"/>
      <c r="C11" s="39"/>
      <c r="D11" s="39"/>
      <c r="E11" s="42"/>
      <c r="F11" s="39"/>
      <c r="G11" s="176"/>
      <c r="H11" s="270"/>
      <c r="I11" s="39"/>
      <c r="J11" s="39"/>
      <c r="K11" s="165"/>
      <c r="L11" s="39"/>
      <c r="M11" s="4"/>
      <c r="N11" s="39"/>
      <c r="O11" s="39"/>
      <c r="P11" s="21"/>
      <c r="Q11" s="134"/>
      <c r="R11" s="271"/>
    </row>
    <row r="12" spans="1:18" ht="12.75">
      <c r="A12" s="166"/>
      <c r="B12" s="21"/>
      <c r="C12" s="39"/>
      <c r="D12" s="39"/>
      <c r="E12" s="42"/>
      <c r="F12" s="39"/>
      <c r="G12" s="176"/>
      <c r="H12" s="270"/>
      <c r="I12" s="39"/>
      <c r="J12" s="39"/>
      <c r="K12" s="165"/>
      <c r="L12" s="39"/>
      <c r="M12" s="4"/>
      <c r="N12" s="39"/>
      <c r="O12" s="39"/>
      <c r="P12" s="21"/>
      <c r="Q12" s="134"/>
      <c r="R12" s="271"/>
    </row>
    <row r="13" spans="1:18" ht="12.75">
      <c r="A13" s="166"/>
      <c r="B13" s="21"/>
      <c r="C13" s="39"/>
      <c r="D13" s="39"/>
      <c r="E13" s="42"/>
      <c r="F13" s="39"/>
      <c r="G13" s="176"/>
      <c r="H13" s="270"/>
      <c r="I13" s="39"/>
      <c r="J13" s="39"/>
      <c r="K13" s="165"/>
      <c r="L13" s="39"/>
      <c r="M13" s="4"/>
      <c r="N13" s="39"/>
      <c r="O13" s="39"/>
      <c r="P13" s="21"/>
      <c r="Q13" s="134"/>
      <c r="R13" s="271"/>
    </row>
    <row r="14" spans="1:18" ht="12.75">
      <c r="A14" s="166"/>
      <c r="B14" s="21"/>
      <c r="C14" s="39"/>
      <c r="D14" s="39"/>
      <c r="E14" s="42"/>
      <c r="F14" s="39"/>
      <c r="G14" s="176"/>
      <c r="H14" s="270"/>
      <c r="I14" s="39"/>
      <c r="J14" s="39"/>
      <c r="K14" s="165"/>
      <c r="L14" s="39"/>
      <c r="M14" s="4"/>
      <c r="N14" s="39"/>
      <c r="O14" s="39"/>
      <c r="P14" s="21"/>
      <c r="Q14" s="134"/>
      <c r="R14" s="271"/>
    </row>
    <row r="15" spans="1:18" ht="12.75">
      <c r="A15" s="166"/>
      <c r="B15" s="21"/>
      <c r="C15" s="39"/>
      <c r="D15" s="39"/>
      <c r="E15" s="42"/>
      <c r="F15" s="39"/>
      <c r="G15" s="176"/>
      <c r="H15" s="270"/>
      <c r="I15" s="39"/>
      <c r="J15" s="39"/>
      <c r="K15" s="165"/>
      <c r="L15" s="39"/>
      <c r="M15" s="4"/>
      <c r="N15" s="39"/>
      <c r="O15" s="39"/>
      <c r="P15" s="21"/>
      <c r="Q15" s="134"/>
      <c r="R15" s="271"/>
    </row>
    <row r="16" spans="1:18" ht="12.75">
      <c r="A16" s="21"/>
      <c r="B16" s="21"/>
      <c r="C16" s="21"/>
      <c r="D16" s="21"/>
      <c r="E16" s="166"/>
      <c r="F16" s="39"/>
      <c r="G16" s="176"/>
      <c r="H16" s="270"/>
      <c r="I16" s="21"/>
      <c r="J16" s="39"/>
      <c r="K16" s="21"/>
      <c r="L16" s="21"/>
      <c r="M16" s="4"/>
      <c r="N16" s="21"/>
      <c r="O16" s="39"/>
      <c r="P16" s="21"/>
      <c r="Q16" s="134"/>
      <c r="R16" s="271"/>
    </row>
    <row r="17" spans="1:18" ht="12.75">
      <c r="A17" s="21"/>
      <c r="B17" s="21"/>
      <c r="C17" s="21"/>
      <c r="D17" s="21"/>
      <c r="E17" s="166"/>
      <c r="F17" s="39"/>
      <c r="G17" s="176"/>
      <c r="H17" s="270"/>
      <c r="I17" s="21"/>
      <c r="J17" s="39"/>
      <c r="K17" s="21"/>
      <c r="L17" s="21"/>
      <c r="M17" s="4"/>
      <c r="N17" s="21"/>
      <c r="O17" s="39"/>
      <c r="P17" s="21"/>
      <c r="Q17" s="134"/>
      <c r="R17" s="271"/>
    </row>
    <row r="18" spans="1:18" ht="12.75">
      <c r="A18" s="21"/>
      <c r="B18" s="21"/>
      <c r="C18" s="21"/>
      <c r="D18" s="21"/>
      <c r="E18" s="166"/>
      <c r="F18" s="39"/>
      <c r="G18" s="176"/>
      <c r="H18" s="270"/>
      <c r="I18" s="21"/>
      <c r="J18" s="39"/>
      <c r="K18" s="21"/>
      <c r="L18" s="21"/>
      <c r="M18" s="4"/>
      <c r="N18" s="21"/>
      <c r="O18" s="39"/>
      <c r="P18" s="21"/>
      <c r="Q18" s="134"/>
      <c r="R18" s="271"/>
    </row>
    <row r="19" spans="1:18" ht="12.75">
      <c r="A19" s="105"/>
      <c r="B19" s="105"/>
      <c r="C19" s="105"/>
      <c r="D19" s="105"/>
      <c r="E19" s="167"/>
      <c r="F19" s="39"/>
      <c r="G19" s="176"/>
      <c r="H19" s="270"/>
      <c r="I19" s="105"/>
      <c r="J19" s="100"/>
      <c r="K19" s="105"/>
      <c r="L19" s="105"/>
      <c r="M19" s="4"/>
      <c r="N19" s="105"/>
      <c r="O19" s="39"/>
      <c r="P19" s="105"/>
      <c r="Q19" s="134"/>
      <c r="R19" s="271"/>
    </row>
    <row r="20" spans="1:18" ht="12.75">
      <c r="A20" s="21"/>
      <c r="B20" s="21"/>
      <c r="C20" s="21"/>
      <c r="D20" s="21"/>
      <c r="E20" s="166"/>
      <c r="F20" s="39"/>
      <c r="G20" s="176"/>
      <c r="H20" s="270"/>
      <c r="I20" s="166"/>
      <c r="J20" s="39"/>
      <c r="K20" s="178"/>
      <c r="L20" s="21"/>
      <c r="M20" s="4"/>
      <c r="N20" s="21"/>
      <c r="O20" s="39"/>
      <c r="P20" s="21"/>
      <c r="Q20" s="134"/>
      <c r="R20" s="271"/>
    </row>
    <row r="21" spans="1:16" ht="12.75">
      <c r="A21" s="25"/>
      <c r="B21" s="25"/>
      <c r="C21" s="25"/>
      <c r="D21" s="25"/>
      <c r="E21" s="25"/>
      <c r="F21" s="73"/>
      <c r="G21" s="25"/>
      <c r="H21" s="25"/>
      <c r="I21" s="25"/>
      <c r="J21" s="73"/>
      <c r="K21" s="25"/>
      <c r="L21" s="25"/>
      <c r="M21" s="71"/>
      <c r="N21" s="25"/>
      <c r="O21" s="164"/>
      <c r="P21" s="25"/>
    </row>
    <row r="22" spans="1:16" ht="12.75">
      <c r="A22" s="25"/>
      <c r="B22" s="25"/>
      <c r="C22" s="25"/>
      <c r="D22" s="25"/>
      <c r="E22" s="25"/>
      <c r="F22" s="73"/>
      <c r="G22" s="25"/>
      <c r="H22" s="25"/>
      <c r="I22" s="25"/>
      <c r="J22" s="73"/>
      <c r="K22" s="25"/>
      <c r="L22" s="25"/>
      <c r="M22" s="71"/>
      <c r="N22" s="25"/>
      <c r="O22" s="164"/>
      <c r="P22" s="25"/>
    </row>
    <row r="23" spans="1:16" ht="12.75">
      <c r="A23" s="25"/>
      <c r="B23" s="25"/>
      <c r="C23" s="25"/>
      <c r="D23" s="25"/>
      <c r="E23" s="25"/>
      <c r="F23" s="73"/>
      <c r="G23" s="25"/>
      <c r="H23" s="25"/>
      <c r="I23" s="25"/>
      <c r="J23" s="73"/>
      <c r="K23" s="25"/>
      <c r="L23" s="25"/>
      <c r="M23" s="71"/>
      <c r="N23" s="25"/>
      <c r="O23" s="164"/>
      <c r="P23" s="25"/>
    </row>
    <row r="24" spans="1:16" ht="12.75">
      <c r="A24" s="25"/>
      <c r="B24" s="25"/>
      <c r="C24" s="25"/>
      <c r="D24" s="25"/>
      <c r="E24" s="25"/>
      <c r="F24" s="73"/>
      <c r="G24" s="25"/>
      <c r="H24" s="25"/>
      <c r="I24" s="25"/>
      <c r="J24" s="73"/>
      <c r="K24" s="25"/>
      <c r="L24" s="25"/>
      <c r="M24" s="71"/>
      <c r="N24" s="25"/>
      <c r="O24" s="164"/>
      <c r="P24" s="25"/>
    </row>
    <row r="25" spans="1:16" ht="12.75">
      <c r="A25" s="25"/>
      <c r="B25" s="25"/>
      <c r="C25" s="25"/>
      <c r="D25" s="25"/>
      <c r="E25" s="25"/>
      <c r="F25" s="73"/>
      <c r="G25" s="25"/>
      <c r="H25" s="25"/>
      <c r="I25" s="25"/>
      <c r="J25" s="73"/>
      <c r="K25" s="25"/>
      <c r="L25" s="25"/>
      <c r="M25" s="71"/>
      <c r="N25" s="25"/>
      <c r="O25" s="164"/>
      <c r="P25" s="25"/>
    </row>
    <row r="26" spans="1:16" ht="12.75">
      <c r="A26" s="25"/>
      <c r="B26" s="25"/>
      <c r="C26" s="25"/>
      <c r="D26" s="25"/>
      <c r="E26" s="25"/>
      <c r="F26" s="73"/>
      <c r="G26" s="25"/>
      <c r="H26" s="25"/>
      <c r="I26" s="25"/>
      <c r="J26" s="73"/>
      <c r="K26" s="25"/>
      <c r="L26" s="25"/>
      <c r="M26" s="71"/>
      <c r="N26" s="25"/>
      <c r="O26" s="164"/>
      <c r="P26" s="25"/>
    </row>
    <row r="27" spans="1:16" ht="12.75">
      <c r="A27" s="25"/>
      <c r="B27" s="25"/>
      <c r="C27" s="25"/>
      <c r="D27" s="25"/>
      <c r="E27" s="25"/>
      <c r="F27" s="73"/>
      <c r="G27" s="25"/>
      <c r="H27" s="25"/>
      <c r="I27" s="25"/>
      <c r="J27" s="73"/>
      <c r="K27" s="25"/>
      <c r="L27" s="25"/>
      <c r="M27" s="71"/>
      <c r="N27" s="25"/>
      <c r="O27" s="164"/>
      <c r="P27" s="25"/>
    </row>
    <row r="28" spans="1:16" ht="12.75">
      <c r="A28" s="25"/>
      <c r="B28" s="25"/>
      <c r="C28" s="25"/>
      <c r="D28" s="25"/>
      <c r="E28" s="25"/>
      <c r="F28" s="73"/>
      <c r="G28" s="25"/>
      <c r="H28" s="25"/>
      <c r="I28" s="25"/>
      <c r="J28" s="73"/>
      <c r="K28" s="25"/>
      <c r="L28" s="25"/>
      <c r="M28" s="71"/>
      <c r="N28" s="25"/>
      <c r="O28" s="164"/>
      <c r="P28" s="25"/>
    </row>
    <row r="29" spans="1:16" ht="12.75">
      <c r="A29" s="25"/>
      <c r="B29" s="25"/>
      <c r="C29" s="25"/>
      <c r="D29" s="25"/>
      <c r="E29" s="25"/>
      <c r="F29" s="73"/>
      <c r="G29" s="25"/>
      <c r="H29" s="25"/>
      <c r="I29" s="25"/>
      <c r="J29" s="73"/>
      <c r="K29" s="25"/>
      <c r="L29" s="25"/>
      <c r="M29" s="71"/>
      <c r="N29" s="25"/>
      <c r="O29" s="164"/>
      <c r="P29" s="25"/>
    </row>
    <row r="30" spans="1:16" ht="12.75">
      <c r="A30" s="25"/>
      <c r="B30" s="25"/>
      <c r="C30" s="25"/>
      <c r="D30" s="25"/>
      <c r="E30" s="25"/>
      <c r="F30" s="73"/>
      <c r="G30" s="25"/>
      <c r="H30" s="25"/>
      <c r="I30" s="25"/>
      <c r="J30" s="73"/>
      <c r="K30" s="25"/>
      <c r="L30" s="25"/>
      <c r="M30" s="71"/>
      <c r="N30" s="25"/>
      <c r="O30" s="164"/>
      <c r="P30" s="25"/>
    </row>
    <row r="31" spans="1:16" ht="12.75">
      <c r="A31" s="25"/>
      <c r="B31" s="25"/>
      <c r="C31" s="25"/>
      <c r="D31" s="25"/>
      <c r="E31" s="25"/>
      <c r="F31" s="73"/>
      <c r="G31" s="25"/>
      <c r="H31" s="25"/>
      <c r="I31" s="25"/>
      <c r="J31" s="73"/>
      <c r="K31" s="25"/>
      <c r="L31" s="25"/>
      <c r="M31" s="71"/>
      <c r="N31" s="25"/>
      <c r="O31" s="164"/>
      <c r="P31" s="25"/>
    </row>
    <row r="32" spans="1:16" ht="12.75">
      <c r="A32" s="25"/>
      <c r="B32" s="25"/>
      <c r="C32" s="25"/>
      <c r="D32" s="25"/>
      <c r="E32" s="25"/>
      <c r="F32" s="73"/>
      <c r="G32" s="25"/>
      <c r="H32" s="25"/>
      <c r="I32" s="25"/>
      <c r="J32" s="73"/>
      <c r="K32" s="25"/>
      <c r="L32" s="25"/>
      <c r="M32" s="71"/>
      <c r="N32" s="25"/>
      <c r="O32" s="164"/>
      <c r="P32" s="25"/>
    </row>
    <row r="33" spans="1:16" ht="12.75">
      <c r="A33" s="25"/>
      <c r="B33" s="25"/>
      <c r="C33" s="25"/>
      <c r="D33" s="25"/>
      <c r="E33" s="25"/>
      <c r="F33" s="73"/>
      <c r="G33" s="25"/>
      <c r="H33" s="25"/>
      <c r="I33" s="25"/>
      <c r="J33" s="73"/>
      <c r="K33" s="25"/>
      <c r="L33" s="25"/>
      <c r="M33" s="71"/>
      <c r="N33" s="25"/>
      <c r="O33" s="164"/>
      <c r="P33" s="25"/>
    </row>
    <row r="34" spans="3:16" ht="12.75">
      <c r="C34" s="25"/>
      <c r="D34" s="25"/>
      <c r="E34" s="25"/>
      <c r="F34" s="73"/>
      <c r="G34" s="25"/>
      <c r="H34" s="25"/>
      <c r="I34" s="25"/>
      <c r="J34" s="73"/>
      <c r="K34" s="25"/>
      <c r="L34" s="25"/>
      <c r="M34" s="71"/>
      <c r="N34" s="25"/>
      <c r="O34" s="164"/>
      <c r="P34" s="25"/>
    </row>
    <row r="35" spans="3:16" ht="12.75">
      <c r="C35" s="25"/>
      <c r="D35" s="25"/>
      <c r="E35" s="25"/>
      <c r="F35" s="73"/>
      <c r="G35" s="25"/>
      <c r="H35" s="25"/>
      <c r="I35" s="25"/>
      <c r="J35" s="73"/>
      <c r="K35" s="25"/>
      <c r="L35" s="25"/>
      <c r="M35" s="71"/>
      <c r="N35" s="25"/>
      <c r="O35" s="164"/>
      <c r="P35" s="25"/>
    </row>
    <row r="36" spans="3:16" ht="12.75">
      <c r="C36" s="25"/>
      <c r="D36" s="25"/>
      <c r="E36" s="25"/>
      <c r="F36" s="73"/>
      <c r="G36" s="25"/>
      <c r="H36" s="25"/>
      <c r="I36" s="25"/>
      <c r="J36" s="73"/>
      <c r="K36" s="25"/>
      <c r="L36" s="25"/>
      <c r="M36" s="71"/>
      <c r="N36" s="25"/>
      <c r="O36" s="164"/>
      <c r="P36" s="25"/>
    </row>
    <row r="37" spans="3:16" ht="12.75">
      <c r="C37" s="25"/>
      <c r="D37" s="25"/>
      <c r="E37" s="25"/>
      <c r="F37" s="73"/>
      <c r="G37" s="25"/>
      <c r="H37" s="25"/>
      <c r="I37" s="25"/>
      <c r="J37" s="73"/>
      <c r="K37" s="25"/>
      <c r="L37" s="25"/>
      <c r="M37" s="71"/>
      <c r="N37" s="25"/>
      <c r="O37" s="164"/>
      <c r="P37" s="25"/>
    </row>
    <row r="38" spans="3:16" ht="12.75">
      <c r="C38" s="25"/>
      <c r="D38" s="25"/>
      <c r="E38" s="25"/>
      <c r="F38" s="73"/>
      <c r="G38" s="25"/>
      <c r="H38" s="25"/>
      <c r="I38" s="25"/>
      <c r="J38" s="73"/>
      <c r="K38" s="25"/>
      <c r="L38" s="25"/>
      <c r="M38" s="71"/>
      <c r="N38" s="25"/>
      <c r="O38" s="164"/>
      <c r="P38" s="25"/>
    </row>
    <row r="39" spans="3:16" ht="12.75">
      <c r="C39" s="25"/>
      <c r="D39" s="25"/>
      <c r="E39" s="25"/>
      <c r="F39" s="73"/>
      <c r="G39" s="25"/>
      <c r="H39" s="25"/>
      <c r="I39" s="25"/>
      <c r="J39" s="73"/>
      <c r="K39" s="25"/>
      <c r="L39" s="25"/>
      <c r="M39" s="71"/>
      <c r="N39" s="25"/>
      <c r="O39" s="164"/>
      <c r="P39" s="25"/>
    </row>
    <row r="40" spans="3:16" ht="12.75">
      <c r="C40" s="25"/>
      <c r="D40" s="25"/>
      <c r="E40" s="25"/>
      <c r="F40" s="73"/>
      <c r="G40" s="25"/>
      <c r="H40" s="25"/>
      <c r="I40" s="25"/>
      <c r="J40" s="73"/>
      <c r="K40" s="25"/>
      <c r="L40" s="25"/>
      <c r="M40" s="71"/>
      <c r="N40" s="25"/>
      <c r="O40" s="164"/>
      <c r="P40" s="25"/>
    </row>
    <row r="41" spans="3:16" ht="12.75">
      <c r="C41" s="25"/>
      <c r="D41" s="25"/>
      <c r="E41" s="25"/>
      <c r="F41" s="73"/>
      <c r="G41" s="25"/>
      <c r="H41" s="25"/>
      <c r="I41" s="25"/>
      <c r="J41" s="73"/>
      <c r="K41" s="25"/>
      <c r="L41" s="25"/>
      <c r="M41" s="71"/>
      <c r="N41" s="25"/>
      <c r="O41" s="164"/>
      <c r="P41" s="25"/>
    </row>
    <row r="42" spans="3:16" ht="12.75">
      <c r="C42" s="25"/>
      <c r="D42" s="25"/>
      <c r="E42" s="25"/>
      <c r="F42" s="73"/>
      <c r="G42" s="25"/>
      <c r="H42" s="25"/>
      <c r="I42" s="25"/>
      <c r="J42" s="73"/>
      <c r="K42" s="25"/>
      <c r="L42" s="25"/>
      <c r="M42" s="71"/>
      <c r="N42" s="25"/>
      <c r="O42" s="164"/>
      <c r="P42" s="25"/>
    </row>
    <row r="43" spans="3:16" ht="12.75">
      <c r="C43" s="25"/>
      <c r="D43" s="25"/>
      <c r="E43" s="25"/>
      <c r="F43" s="73"/>
      <c r="G43" s="25"/>
      <c r="H43" s="25"/>
      <c r="I43" s="25"/>
      <c r="J43" s="73"/>
      <c r="K43" s="25"/>
      <c r="L43" s="25"/>
      <c r="M43" s="71"/>
      <c r="N43" s="25"/>
      <c r="O43" s="164"/>
      <c r="P43" s="25"/>
    </row>
    <row r="44" spans="3:16" ht="12.75">
      <c r="C44" s="25"/>
      <c r="D44" s="25"/>
      <c r="E44" s="25"/>
      <c r="F44" s="73"/>
      <c r="G44" s="25"/>
      <c r="H44" s="25"/>
      <c r="I44" s="25"/>
      <c r="J44" s="73"/>
      <c r="K44" s="25"/>
      <c r="L44" s="25"/>
      <c r="M44" s="71"/>
      <c r="N44" s="25"/>
      <c r="O44" s="164"/>
      <c r="P44" s="25"/>
    </row>
    <row r="45" spans="3:16" ht="12.75">
      <c r="C45" s="25"/>
      <c r="D45" s="25"/>
      <c r="E45" s="25"/>
      <c r="F45" s="73"/>
      <c r="G45" s="25"/>
      <c r="H45" s="25"/>
      <c r="I45" s="25"/>
      <c r="J45" s="73"/>
      <c r="K45" s="25"/>
      <c r="L45" s="25"/>
      <c r="M45" s="71"/>
      <c r="N45" s="25"/>
      <c r="O45" s="164"/>
      <c r="P45" s="25"/>
    </row>
    <row r="46" spans="3:16" ht="12.75">
      <c r="C46" s="25"/>
      <c r="D46" s="25"/>
      <c r="E46" s="25"/>
      <c r="F46" s="73"/>
      <c r="G46" s="25"/>
      <c r="H46" s="25"/>
      <c r="I46" s="25"/>
      <c r="J46" s="73"/>
      <c r="K46" s="25"/>
      <c r="L46" s="25"/>
      <c r="M46" s="71"/>
      <c r="N46" s="25"/>
      <c r="O46" s="164"/>
      <c r="P46" s="25"/>
    </row>
    <row r="47" spans="3:16" ht="12.75">
      <c r="C47" s="25"/>
      <c r="D47" s="25"/>
      <c r="E47" s="25"/>
      <c r="F47" s="73"/>
      <c r="G47" s="25"/>
      <c r="H47" s="25"/>
      <c r="I47" s="25"/>
      <c r="J47" s="73"/>
      <c r="K47" s="25"/>
      <c r="L47" s="25"/>
      <c r="M47" s="71"/>
      <c r="N47" s="25"/>
      <c r="O47" s="164"/>
      <c r="P47" s="25"/>
    </row>
    <row r="48" spans="3:16" ht="12.75">
      <c r="C48" s="25"/>
      <c r="D48" s="25"/>
      <c r="E48" s="25"/>
      <c r="F48" s="73"/>
      <c r="G48" s="25"/>
      <c r="H48" s="25"/>
      <c r="I48" s="25"/>
      <c r="J48" s="73"/>
      <c r="K48" s="25"/>
      <c r="L48" s="25"/>
      <c r="M48" s="71"/>
      <c r="N48" s="25"/>
      <c r="O48" s="164"/>
      <c r="P48" s="25"/>
    </row>
    <row r="49" spans="3:16" ht="12.75">
      <c r="C49" s="25"/>
      <c r="D49" s="25"/>
      <c r="E49" s="25"/>
      <c r="F49" s="73"/>
      <c r="G49" s="25"/>
      <c r="H49" s="25"/>
      <c r="I49" s="25"/>
      <c r="J49" s="73"/>
      <c r="K49" s="25"/>
      <c r="L49" s="25"/>
      <c r="M49" s="71"/>
      <c r="N49" s="25"/>
      <c r="O49" s="164"/>
      <c r="P49" s="25"/>
    </row>
    <row r="50" spans="3:16" ht="12.75">
      <c r="C50" s="25"/>
      <c r="D50" s="25"/>
      <c r="E50" s="25"/>
      <c r="F50" s="73"/>
      <c r="G50" s="25"/>
      <c r="H50" s="25"/>
      <c r="I50" s="25"/>
      <c r="J50" s="73"/>
      <c r="K50" s="25"/>
      <c r="L50" s="25"/>
      <c r="M50" s="71"/>
      <c r="N50" s="25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E2:E15">
      <formula1>Пол</formula1>
    </dataValidation>
    <dataValidation type="list" allowBlank="1" showInputMessage="1" showErrorMessage="1" sqref="N2:N15">
      <formula1>Статус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3">
      <selection activeCell="J30" sqref="J30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3" width="14.25390625" style="19" customWidth="1"/>
    <col min="4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1.75390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1">
        <f>IF(COUNTIF(Q1:Q1000,"Введите дату рождения")&lt;&gt;0,"1","")</f>
      </c>
    </row>
    <row r="2" spans="1:18" ht="12.75" customHeight="1">
      <c r="A2" s="42">
        <v>1</v>
      </c>
      <c r="B2" s="39" t="s">
        <v>561</v>
      </c>
      <c r="C2" s="39" t="s">
        <v>562</v>
      </c>
      <c r="D2" s="39" t="s">
        <v>374</v>
      </c>
      <c r="E2" s="42" t="s">
        <v>99</v>
      </c>
      <c r="F2" s="39" t="str">
        <f>Отчет!$C$4</f>
        <v>МБОУ СОШ № 153</v>
      </c>
      <c r="G2" s="176">
        <v>5</v>
      </c>
      <c r="H2" s="270">
        <v>5</v>
      </c>
      <c r="I2" s="39"/>
      <c r="J2" s="39" t="s">
        <v>126</v>
      </c>
      <c r="K2" s="165">
        <v>42</v>
      </c>
      <c r="L2" s="39">
        <v>100</v>
      </c>
      <c r="M2" s="4">
        <f aca="true" t="shared" si="0" ref="M2:M27">K2/L2</f>
        <v>0.42</v>
      </c>
      <c r="N2" s="39" t="s">
        <v>49</v>
      </c>
      <c r="O2" s="39" t="s">
        <v>76</v>
      </c>
      <c r="P2" s="21" t="s">
        <v>22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>
        <v>2</v>
      </c>
      <c r="B3" s="39" t="s">
        <v>521</v>
      </c>
      <c r="C3" s="39" t="s">
        <v>522</v>
      </c>
      <c r="D3" s="39" t="s">
        <v>643</v>
      </c>
      <c r="E3" s="42" t="s">
        <v>99</v>
      </c>
      <c r="F3" s="39" t="str">
        <f>Отчет!$C$4</f>
        <v>МБОУ СОШ № 153</v>
      </c>
      <c r="G3" s="176">
        <v>5</v>
      </c>
      <c r="H3" s="270">
        <v>5</v>
      </c>
      <c r="I3" s="39"/>
      <c r="J3" s="39" t="s">
        <v>126</v>
      </c>
      <c r="K3" s="165">
        <v>40</v>
      </c>
      <c r="L3" s="39">
        <v>100</v>
      </c>
      <c r="M3" s="4">
        <f t="shared" si="0"/>
        <v>0.4</v>
      </c>
      <c r="N3" s="39" t="s">
        <v>50</v>
      </c>
      <c r="O3" s="39" t="s">
        <v>76</v>
      </c>
      <c r="P3" s="21" t="s">
        <v>22</v>
      </c>
      <c r="Q3" s="134">
        <f aca="true" t="shared" si="1" ref="Q3:Q22">IF(G3=H3,"","Введите дату рождения")</f>
      </c>
      <c r="R3" s="271">
        <f>Отчет!$Q$4</f>
        <v>937015</v>
      </c>
    </row>
    <row r="4" spans="1:18" ht="12.75" customHeight="1">
      <c r="A4" s="42">
        <v>3</v>
      </c>
      <c r="B4" s="21" t="s">
        <v>651</v>
      </c>
      <c r="C4" s="39" t="s">
        <v>370</v>
      </c>
      <c r="D4" s="39" t="s">
        <v>470</v>
      </c>
      <c r="E4" s="42" t="s">
        <v>99</v>
      </c>
      <c r="F4" s="39" t="str">
        <f>Отчет!$C$4</f>
        <v>МБОУ СОШ № 153</v>
      </c>
      <c r="G4" s="176">
        <v>5</v>
      </c>
      <c r="H4" s="270">
        <v>5</v>
      </c>
      <c r="I4" s="39"/>
      <c r="J4" s="39" t="s">
        <v>126</v>
      </c>
      <c r="K4" s="165">
        <v>34</v>
      </c>
      <c r="L4" s="39">
        <v>100</v>
      </c>
      <c r="M4" s="4">
        <f t="shared" si="0"/>
        <v>0.34</v>
      </c>
      <c r="N4" s="39" t="s">
        <v>58</v>
      </c>
      <c r="O4" s="39" t="s">
        <v>76</v>
      </c>
      <c r="P4" s="21" t="s">
        <v>22</v>
      </c>
      <c r="Q4" s="134">
        <f t="shared" si="1"/>
      </c>
      <c r="R4" s="271">
        <f>Отчет!$Q$4</f>
        <v>937015</v>
      </c>
    </row>
    <row r="5" spans="1:18" ht="12.75" customHeight="1">
      <c r="A5" s="42">
        <v>4</v>
      </c>
      <c r="B5" s="21" t="s">
        <v>523</v>
      </c>
      <c r="C5" s="39" t="s">
        <v>524</v>
      </c>
      <c r="D5" s="39" t="s">
        <v>437</v>
      </c>
      <c r="E5" s="42" t="s">
        <v>98</v>
      </c>
      <c r="F5" s="39" t="str">
        <f>Отчет!$C$4</f>
        <v>МБОУ СОШ № 153</v>
      </c>
      <c r="G5" s="176">
        <v>5</v>
      </c>
      <c r="H5" s="270">
        <v>5</v>
      </c>
      <c r="I5" s="39"/>
      <c r="J5" s="39" t="s">
        <v>126</v>
      </c>
      <c r="K5" s="165">
        <v>26</v>
      </c>
      <c r="L5" s="39">
        <v>100</v>
      </c>
      <c r="M5" s="4">
        <f t="shared" si="0"/>
        <v>0.26</v>
      </c>
      <c r="N5" s="39" t="s">
        <v>58</v>
      </c>
      <c r="O5" s="39" t="s">
        <v>76</v>
      </c>
      <c r="P5" s="21" t="s">
        <v>22</v>
      </c>
      <c r="Q5" s="134">
        <f t="shared" si="1"/>
      </c>
      <c r="R5" s="271">
        <f>Отчет!$Q$4</f>
        <v>937015</v>
      </c>
    </row>
    <row r="6" spans="1:18" ht="12.75">
      <c r="A6" s="42">
        <v>5</v>
      </c>
      <c r="B6" s="21" t="s">
        <v>652</v>
      </c>
      <c r="C6" s="39" t="s">
        <v>653</v>
      </c>
      <c r="D6" s="39" t="s">
        <v>654</v>
      </c>
      <c r="E6" s="42" t="s">
        <v>99</v>
      </c>
      <c r="F6" s="39" t="str">
        <f>Отчет!$C$4</f>
        <v>МБОУ СОШ № 153</v>
      </c>
      <c r="G6" s="176">
        <v>5</v>
      </c>
      <c r="H6" s="270">
        <v>5</v>
      </c>
      <c r="I6" s="39"/>
      <c r="J6" s="39" t="s">
        <v>126</v>
      </c>
      <c r="K6" s="165">
        <v>24</v>
      </c>
      <c r="L6" s="39">
        <v>100</v>
      </c>
      <c r="M6" s="4">
        <f t="shared" si="0"/>
        <v>0.24</v>
      </c>
      <c r="N6" s="39" t="s">
        <v>58</v>
      </c>
      <c r="O6" s="39" t="s">
        <v>76</v>
      </c>
      <c r="P6" s="21" t="s">
        <v>22</v>
      </c>
      <c r="Q6" s="134">
        <f t="shared" si="1"/>
      </c>
      <c r="R6" s="271">
        <f>Отчет!$Q$4</f>
        <v>937015</v>
      </c>
    </row>
    <row r="7" spans="1:18" ht="12.75">
      <c r="A7" s="42">
        <v>6</v>
      </c>
      <c r="B7" s="21" t="s">
        <v>655</v>
      </c>
      <c r="C7" s="39" t="s">
        <v>656</v>
      </c>
      <c r="D7" s="39" t="s">
        <v>654</v>
      </c>
      <c r="E7" s="42" t="s">
        <v>99</v>
      </c>
      <c r="F7" s="39" t="str">
        <f>Отчет!$C$4</f>
        <v>МБОУ СОШ № 153</v>
      </c>
      <c r="G7" s="176">
        <v>5</v>
      </c>
      <c r="H7" s="270">
        <v>5</v>
      </c>
      <c r="I7" s="39"/>
      <c r="J7" s="39" t="s">
        <v>126</v>
      </c>
      <c r="K7" s="165">
        <v>24</v>
      </c>
      <c r="L7" s="39">
        <v>100</v>
      </c>
      <c r="M7" s="4">
        <f t="shared" si="0"/>
        <v>0.24</v>
      </c>
      <c r="N7" s="39" t="s">
        <v>58</v>
      </c>
      <c r="O7" s="39" t="s">
        <v>76</v>
      </c>
      <c r="P7" s="21" t="s">
        <v>22</v>
      </c>
      <c r="Q7" s="134">
        <f t="shared" si="1"/>
      </c>
      <c r="R7" s="271">
        <f>Отчет!$Q$4</f>
        <v>937015</v>
      </c>
    </row>
    <row r="8" spans="1:18" ht="12.75" customHeight="1">
      <c r="A8" s="42">
        <v>7</v>
      </c>
      <c r="B8" s="21" t="s">
        <v>657</v>
      </c>
      <c r="C8" s="39" t="s">
        <v>568</v>
      </c>
      <c r="D8" s="39" t="s">
        <v>649</v>
      </c>
      <c r="E8" s="42" t="s">
        <v>99</v>
      </c>
      <c r="F8" s="39" t="str">
        <f>Отчет!$C$4</f>
        <v>МБОУ СОШ № 153</v>
      </c>
      <c r="G8" s="176">
        <v>5</v>
      </c>
      <c r="H8" s="270">
        <v>5</v>
      </c>
      <c r="I8" s="39"/>
      <c r="J8" s="39" t="s">
        <v>126</v>
      </c>
      <c r="K8" s="165">
        <v>22</v>
      </c>
      <c r="L8" s="39">
        <v>100</v>
      </c>
      <c r="M8" s="4">
        <f t="shared" si="0"/>
        <v>0.22</v>
      </c>
      <c r="N8" s="39" t="s">
        <v>58</v>
      </c>
      <c r="O8" s="39" t="s">
        <v>76</v>
      </c>
      <c r="P8" s="21" t="s">
        <v>22</v>
      </c>
      <c r="Q8" s="134">
        <f t="shared" si="1"/>
      </c>
      <c r="R8" s="271">
        <f>Отчет!$Q$4</f>
        <v>937015</v>
      </c>
    </row>
    <row r="9" spans="1:18" ht="12.75">
      <c r="A9" s="42">
        <v>8</v>
      </c>
      <c r="B9" s="21" t="s">
        <v>658</v>
      </c>
      <c r="C9" s="39" t="s">
        <v>424</v>
      </c>
      <c r="D9" s="39" t="s">
        <v>391</v>
      </c>
      <c r="E9" s="42" t="s">
        <v>99</v>
      </c>
      <c r="F9" s="39" t="str">
        <f>Отчет!$C$4</f>
        <v>МБОУ СОШ № 153</v>
      </c>
      <c r="G9" s="176">
        <v>5</v>
      </c>
      <c r="H9" s="270">
        <v>5</v>
      </c>
      <c r="I9" s="39"/>
      <c r="J9" s="39" t="s">
        <v>126</v>
      </c>
      <c r="K9" s="165">
        <v>20</v>
      </c>
      <c r="L9" s="39">
        <v>100</v>
      </c>
      <c r="M9" s="4">
        <f t="shared" si="0"/>
        <v>0.2</v>
      </c>
      <c r="N9" s="39" t="s">
        <v>58</v>
      </c>
      <c r="O9" s="39" t="s">
        <v>76</v>
      </c>
      <c r="P9" s="21" t="s">
        <v>22</v>
      </c>
      <c r="Q9" s="134">
        <f t="shared" si="1"/>
      </c>
      <c r="R9" s="271">
        <f>Отчет!$Q$4</f>
        <v>937015</v>
      </c>
    </row>
    <row r="10" spans="1:18" ht="12.75">
      <c r="A10" s="42">
        <v>9</v>
      </c>
      <c r="B10" s="21" t="s">
        <v>559</v>
      </c>
      <c r="C10" s="39" t="s">
        <v>560</v>
      </c>
      <c r="D10" s="39" t="s">
        <v>470</v>
      </c>
      <c r="E10" s="42" t="s">
        <v>99</v>
      </c>
      <c r="F10" s="39" t="str">
        <f>Отчет!$C$4</f>
        <v>МБОУ СОШ № 153</v>
      </c>
      <c r="G10" s="176">
        <v>5</v>
      </c>
      <c r="H10" s="270">
        <v>5</v>
      </c>
      <c r="I10" s="39"/>
      <c r="J10" s="39" t="s">
        <v>126</v>
      </c>
      <c r="K10" s="165">
        <v>20</v>
      </c>
      <c r="L10" s="39">
        <v>100</v>
      </c>
      <c r="M10" s="4">
        <f t="shared" si="0"/>
        <v>0.2</v>
      </c>
      <c r="N10" s="39" t="s">
        <v>58</v>
      </c>
      <c r="O10" s="39" t="s">
        <v>76</v>
      </c>
      <c r="P10" s="21" t="s">
        <v>22</v>
      </c>
      <c r="Q10" s="134">
        <f t="shared" si="1"/>
      </c>
      <c r="R10" s="271">
        <f>Отчет!$Q$4</f>
        <v>937015</v>
      </c>
    </row>
    <row r="11" spans="1:18" ht="12.75">
      <c r="A11" s="42">
        <v>10</v>
      </c>
      <c r="B11" s="21" t="s">
        <v>659</v>
      </c>
      <c r="C11" s="39" t="s">
        <v>660</v>
      </c>
      <c r="D11" s="39" t="s">
        <v>633</v>
      </c>
      <c r="E11" s="42" t="s">
        <v>98</v>
      </c>
      <c r="F11" s="39" t="str">
        <f>Отчет!$C$4</f>
        <v>МБОУ СОШ № 153</v>
      </c>
      <c r="G11" s="176">
        <v>5</v>
      </c>
      <c r="H11" s="270">
        <v>5</v>
      </c>
      <c r="I11" s="39"/>
      <c r="J11" s="39" t="s">
        <v>126</v>
      </c>
      <c r="K11" s="165">
        <v>13</v>
      </c>
      <c r="L11" s="39">
        <v>100</v>
      </c>
      <c r="M11" s="4">
        <f t="shared" si="0"/>
        <v>0.13</v>
      </c>
      <c r="N11" s="39" t="s">
        <v>58</v>
      </c>
      <c r="O11" s="39" t="s">
        <v>76</v>
      </c>
      <c r="P11" s="21" t="s">
        <v>22</v>
      </c>
      <c r="Q11" s="134">
        <f t="shared" si="1"/>
      </c>
      <c r="R11" s="271">
        <f>Отчет!$Q$4</f>
        <v>937015</v>
      </c>
    </row>
    <row r="12" spans="1:18" ht="12.75">
      <c r="A12" s="42">
        <v>11</v>
      </c>
      <c r="B12" s="21" t="s">
        <v>525</v>
      </c>
      <c r="C12" s="39" t="s">
        <v>413</v>
      </c>
      <c r="D12" s="39" t="s">
        <v>401</v>
      </c>
      <c r="E12" s="42" t="s">
        <v>98</v>
      </c>
      <c r="F12" s="39" t="str">
        <f>Отчет!$C$4</f>
        <v>МБОУ СОШ № 153</v>
      </c>
      <c r="G12" s="176">
        <v>5</v>
      </c>
      <c r="H12" s="270">
        <v>5</v>
      </c>
      <c r="I12" s="39"/>
      <c r="J12" s="39" t="s">
        <v>126</v>
      </c>
      <c r="K12" s="165">
        <v>7</v>
      </c>
      <c r="L12" s="39">
        <v>100</v>
      </c>
      <c r="M12" s="4">
        <f t="shared" si="0"/>
        <v>0.07</v>
      </c>
      <c r="N12" s="39" t="s">
        <v>58</v>
      </c>
      <c r="O12" s="39" t="s">
        <v>76</v>
      </c>
      <c r="P12" s="21" t="s">
        <v>22</v>
      </c>
      <c r="Q12" s="134">
        <f t="shared" si="1"/>
      </c>
      <c r="R12" s="271">
        <f>Отчет!$Q$4</f>
        <v>937015</v>
      </c>
    </row>
    <row r="13" spans="1:18" ht="12.75">
      <c r="A13" s="42">
        <v>12</v>
      </c>
      <c r="B13" s="39" t="s">
        <v>484</v>
      </c>
      <c r="C13" s="39" t="s">
        <v>483</v>
      </c>
      <c r="D13" s="39" t="s">
        <v>482</v>
      </c>
      <c r="E13" s="42" t="s">
        <v>99</v>
      </c>
      <c r="F13" s="39" t="str">
        <f>Отчет!$C$4</f>
        <v>МБОУ СОШ № 153</v>
      </c>
      <c r="G13" s="176">
        <v>6</v>
      </c>
      <c r="H13" s="270">
        <f aca="true" t="shared" si="2" ref="H13:H20">G13</f>
        <v>6</v>
      </c>
      <c r="I13" s="39"/>
      <c r="J13" s="39" t="s">
        <v>126</v>
      </c>
      <c r="K13" s="165">
        <v>55</v>
      </c>
      <c r="L13" s="39">
        <v>100</v>
      </c>
      <c r="M13" s="4">
        <f t="shared" si="0"/>
        <v>0.55</v>
      </c>
      <c r="N13" s="39" t="s">
        <v>50</v>
      </c>
      <c r="O13" s="39" t="s">
        <v>76</v>
      </c>
      <c r="P13" s="21" t="s">
        <v>22</v>
      </c>
      <c r="Q13" s="134">
        <f t="shared" si="1"/>
      </c>
      <c r="R13" s="271">
        <f>Отчет!$Q$4</f>
        <v>937015</v>
      </c>
    </row>
    <row r="14" spans="1:18" ht="12.75">
      <c r="A14" s="42">
        <v>13</v>
      </c>
      <c r="B14" s="39" t="s">
        <v>485</v>
      </c>
      <c r="C14" s="39" t="s">
        <v>419</v>
      </c>
      <c r="D14" s="39" t="s">
        <v>411</v>
      </c>
      <c r="E14" s="42" t="s">
        <v>99</v>
      </c>
      <c r="F14" s="39" t="str">
        <f>Отчет!$C$4</f>
        <v>МБОУ СОШ № 153</v>
      </c>
      <c r="G14" s="176">
        <v>6</v>
      </c>
      <c r="H14" s="270">
        <f t="shared" si="2"/>
        <v>6</v>
      </c>
      <c r="I14" s="39"/>
      <c r="J14" s="39" t="s">
        <v>126</v>
      </c>
      <c r="K14" s="165">
        <v>45</v>
      </c>
      <c r="L14" s="39">
        <v>100</v>
      </c>
      <c r="M14" s="4">
        <f t="shared" si="0"/>
        <v>0.45</v>
      </c>
      <c r="N14" s="39" t="s">
        <v>58</v>
      </c>
      <c r="O14" s="39" t="s">
        <v>76</v>
      </c>
      <c r="P14" s="21" t="s">
        <v>22</v>
      </c>
      <c r="Q14" s="134">
        <f t="shared" si="1"/>
      </c>
      <c r="R14" s="271">
        <f>Отчет!$Q$4</f>
        <v>937015</v>
      </c>
    </row>
    <row r="15" spans="1:18" ht="12.75">
      <c r="A15" s="42">
        <v>14</v>
      </c>
      <c r="B15" s="21" t="s">
        <v>667</v>
      </c>
      <c r="C15" s="39" t="s">
        <v>644</v>
      </c>
      <c r="D15" s="39" t="s">
        <v>668</v>
      </c>
      <c r="E15" s="42" t="s">
        <v>98</v>
      </c>
      <c r="F15" s="39" t="str">
        <f>Отчет!$C$4</f>
        <v>МБОУ СОШ № 153</v>
      </c>
      <c r="G15" s="176">
        <v>6</v>
      </c>
      <c r="H15" s="270">
        <f t="shared" si="2"/>
        <v>6</v>
      </c>
      <c r="I15" s="39"/>
      <c r="J15" s="39" t="s">
        <v>126</v>
      </c>
      <c r="K15" s="165">
        <v>31</v>
      </c>
      <c r="L15" s="39">
        <v>100</v>
      </c>
      <c r="M15" s="4">
        <f t="shared" si="0"/>
        <v>0.31</v>
      </c>
      <c r="N15" s="39" t="s">
        <v>58</v>
      </c>
      <c r="O15" s="39" t="s">
        <v>76</v>
      </c>
      <c r="P15" s="21" t="s">
        <v>22</v>
      </c>
      <c r="Q15" s="134">
        <f t="shared" si="1"/>
      </c>
      <c r="R15" s="271">
        <f>Отчет!$Q$4</f>
        <v>937015</v>
      </c>
    </row>
    <row r="16" spans="1:18" ht="12.75">
      <c r="A16" s="42">
        <v>15</v>
      </c>
      <c r="B16" s="21" t="s">
        <v>669</v>
      </c>
      <c r="C16" s="39" t="s">
        <v>469</v>
      </c>
      <c r="D16" s="39" t="s">
        <v>670</v>
      </c>
      <c r="E16" s="42" t="s">
        <v>99</v>
      </c>
      <c r="F16" s="39" t="str">
        <f>Отчет!$C$4</f>
        <v>МБОУ СОШ № 153</v>
      </c>
      <c r="G16" s="176">
        <v>7</v>
      </c>
      <c r="H16" s="270">
        <f t="shared" si="2"/>
        <v>7</v>
      </c>
      <c r="I16" s="5"/>
      <c r="J16" s="39" t="s">
        <v>126</v>
      </c>
      <c r="K16" s="165">
        <v>50</v>
      </c>
      <c r="L16" s="39">
        <v>100</v>
      </c>
      <c r="M16" s="4">
        <f t="shared" si="0"/>
        <v>0.5</v>
      </c>
      <c r="N16" s="37" t="s">
        <v>50</v>
      </c>
      <c r="O16" s="39" t="s">
        <v>76</v>
      </c>
      <c r="P16" s="21" t="s">
        <v>22</v>
      </c>
      <c r="Q16" s="134">
        <f t="shared" si="1"/>
      </c>
      <c r="R16" s="271">
        <f>Отчет!$Q$4</f>
        <v>937015</v>
      </c>
    </row>
    <row r="17" spans="1:18" ht="12.75">
      <c r="A17" s="42">
        <v>16</v>
      </c>
      <c r="B17" s="21" t="s">
        <v>500</v>
      </c>
      <c r="C17" s="39" t="s">
        <v>501</v>
      </c>
      <c r="D17" s="39" t="s">
        <v>502</v>
      </c>
      <c r="E17" s="42" t="s">
        <v>99</v>
      </c>
      <c r="F17" s="39" t="str">
        <f>Отчет!$C$4</f>
        <v>МБОУ СОШ № 153</v>
      </c>
      <c r="G17" s="176">
        <v>7</v>
      </c>
      <c r="H17" s="270">
        <f t="shared" si="2"/>
        <v>7</v>
      </c>
      <c r="I17" s="5"/>
      <c r="J17" s="39" t="s">
        <v>126</v>
      </c>
      <c r="K17" s="165">
        <v>28</v>
      </c>
      <c r="L17" s="39">
        <v>100</v>
      </c>
      <c r="M17" s="4">
        <f t="shared" si="0"/>
        <v>0.28</v>
      </c>
      <c r="N17" s="37" t="s">
        <v>58</v>
      </c>
      <c r="O17" s="39" t="s">
        <v>76</v>
      </c>
      <c r="P17" s="21" t="s">
        <v>22</v>
      </c>
      <c r="Q17" s="134">
        <f t="shared" si="1"/>
      </c>
      <c r="R17" s="271">
        <f>Отчет!$Q$4</f>
        <v>937015</v>
      </c>
    </row>
    <row r="18" spans="1:18" ht="12.75">
      <c r="A18" s="42">
        <v>17</v>
      </c>
      <c r="B18" s="21" t="s">
        <v>671</v>
      </c>
      <c r="C18" s="39" t="s">
        <v>495</v>
      </c>
      <c r="D18" s="39" t="s">
        <v>536</v>
      </c>
      <c r="E18" s="42" t="s">
        <v>98</v>
      </c>
      <c r="F18" s="39" t="str">
        <f>Отчет!$C$4</f>
        <v>МБОУ СОШ № 153</v>
      </c>
      <c r="G18" s="176">
        <v>7</v>
      </c>
      <c r="H18" s="270">
        <f t="shared" si="2"/>
        <v>7</v>
      </c>
      <c r="I18" s="5"/>
      <c r="J18" s="39" t="s">
        <v>126</v>
      </c>
      <c r="K18" s="165">
        <v>12</v>
      </c>
      <c r="L18" s="39">
        <v>100</v>
      </c>
      <c r="M18" s="4">
        <f t="shared" si="0"/>
        <v>0.12</v>
      </c>
      <c r="N18" s="37" t="s">
        <v>58</v>
      </c>
      <c r="O18" s="39" t="s">
        <v>76</v>
      </c>
      <c r="P18" s="21" t="s">
        <v>22</v>
      </c>
      <c r="Q18" s="134">
        <f t="shared" si="1"/>
      </c>
      <c r="R18" s="271">
        <f>Отчет!$Q$4</f>
        <v>937015</v>
      </c>
    </row>
    <row r="19" spans="1:18" ht="12.75">
      <c r="A19" s="42">
        <v>18</v>
      </c>
      <c r="B19" s="21" t="s">
        <v>672</v>
      </c>
      <c r="C19" s="39" t="s">
        <v>541</v>
      </c>
      <c r="D19" s="39" t="s">
        <v>467</v>
      </c>
      <c r="E19" s="42" t="s">
        <v>98</v>
      </c>
      <c r="F19" s="39" t="str">
        <f>Отчет!$C$4</f>
        <v>МБОУ СОШ № 153</v>
      </c>
      <c r="G19" s="176">
        <v>8</v>
      </c>
      <c r="H19" s="270">
        <f t="shared" si="2"/>
        <v>8</v>
      </c>
      <c r="I19" s="108"/>
      <c r="J19" s="39" t="s">
        <v>126</v>
      </c>
      <c r="K19" s="165">
        <v>35</v>
      </c>
      <c r="L19" s="39">
        <v>50</v>
      </c>
      <c r="M19" s="4">
        <f t="shared" si="0"/>
        <v>0.7</v>
      </c>
      <c r="N19" s="110" t="s">
        <v>58</v>
      </c>
      <c r="O19" s="39" t="s">
        <v>76</v>
      </c>
      <c r="P19" s="105" t="s">
        <v>22</v>
      </c>
      <c r="Q19" s="134">
        <f t="shared" si="1"/>
      </c>
      <c r="R19" s="271">
        <f>Отчет!$Q$4</f>
        <v>937015</v>
      </c>
    </row>
    <row r="20" spans="1:18" ht="12.75">
      <c r="A20" s="39">
        <v>19</v>
      </c>
      <c r="B20" s="21" t="s">
        <v>673</v>
      </c>
      <c r="C20" s="39" t="s">
        <v>674</v>
      </c>
      <c r="D20" s="39" t="s">
        <v>463</v>
      </c>
      <c r="E20" s="39" t="s">
        <v>99</v>
      </c>
      <c r="F20" s="39" t="str">
        <f>Отчет!$C$4</f>
        <v>МБОУ СОШ № 153</v>
      </c>
      <c r="G20" s="39">
        <v>8</v>
      </c>
      <c r="H20" s="270">
        <f t="shared" si="2"/>
        <v>8</v>
      </c>
      <c r="I20" s="5"/>
      <c r="J20" s="39" t="s">
        <v>126</v>
      </c>
      <c r="K20" s="165">
        <v>20</v>
      </c>
      <c r="L20" s="312">
        <v>50</v>
      </c>
      <c r="M20" s="313">
        <f t="shared" si="0"/>
        <v>0.4</v>
      </c>
      <c r="N20" s="110" t="s">
        <v>58</v>
      </c>
      <c r="O20" s="39" t="s">
        <v>76</v>
      </c>
      <c r="P20" s="105" t="s">
        <v>22</v>
      </c>
      <c r="Q20" s="314">
        <f t="shared" si="1"/>
      </c>
      <c r="R20" s="315">
        <f>Отчет!$Q$4</f>
        <v>937015</v>
      </c>
    </row>
    <row r="21" spans="1:18" ht="12.75">
      <c r="A21" s="39">
        <v>20</v>
      </c>
      <c r="B21" s="3" t="s">
        <v>647</v>
      </c>
      <c r="C21" s="3" t="s">
        <v>675</v>
      </c>
      <c r="D21" s="3" t="s">
        <v>649</v>
      </c>
      <c r="E21" s="304" t="s">
        <v>99</v>
      </c>
      <c r="F21" s="39" t="str">
        <f>Отчет!$C$4</f>
        <v>МБОУ СОШ № 153</v>
      </c>
      <c r="G21" s="12">
        <v>9</v>
      </c>
      <c r="H21" s="12">
        <v>9</v>
      </c>
      <c r="I21" s="5"/>
      <c r="J21" s="39" t="s">
        <v>126</v>
      </c>
      <c r="K21" s="309">
        <v>41</v>
      </c>
      <c r="L21" s="12">
        <v>85</v>
      </c>
      <c r="M21" s="4">
        <f t="shared" si="0"/>
        <v>0.4823529411764706</v>
      </c>
      <c r="N21" s="110" t="s">
        <v>58</v>
      </c>
      <c r="O21" s="39" t="s">
        <v>76</v>
      </c>
      <c r="P21" s="105" t="s">
        <v>22</v>
      </c>
      <c r="Q21" s="21">
        <f t="shared" si="1"/>
      </c>
      <c r="R21" s="315">
        <f>Отчет!$Q$4</f>
        <v>937015</v>
      </c>
    </row>
    <row r="22" spans="1:18" ht="12.75">
      <c r="A22" s="39">
        <v>21</v>
      </c>
      <c r="B22" s="3" t="s">
        <v>624</v>
      </c>
      <c r="C22" s="3" t="s">
        <v>581</v>
      </c>
      <c r="D22" s="3" t="s">
        <v>456</v>
      </c>
      <c r="E22" s="304" t="s">
        <v>99</v>
      </c>
      <c r="F22" s="39" t="str">
        <f>Отчет!$C$4</f>
        <v>МБОУ СОШ № 153</v>
      </c>
      <c r="G22" s="12">
        <v>9</v>
      </c>
      <c r="H22" s="12">
        <v>9</v>
      </c>
      <c r="I22" s="5"/>
      <c r="J22" s="39" t="s">
        <v>126</v>
      </c>
      <c r="K22" s="309">
        <v>22</v>
      </c>
      <c r="L22" s="12">
        <v>85</v>
      </c>
      <c r="M22" s="4">
        <f t="shared" si="0"/>
        <v>0.25882352941176473</v>
      </c>
      <c r="N22" s="110" t="s">
        <v>58</v>
      </c>
      <c r="O22" s="39" t="s">
        <v>76</v>
      </c>
      <c r="P22" s="105" t="s">
        <v>22</v>
      </c>
      <c r="Q22" s="21">
        <f t="shared" si="1"/>
      </c>
      <c r="R22" s="315">
        <f>Отчет!$Q$4</f>
        <v>937015</v>
      </c>
    </row>
    <row r="23" spans="1:18" ht="12.75">
      <c r="A23" s="39">
        <v>22</v>
      </c>
      <c r="B23" s="3" t="s">
        <v>676</v>
      </c>
      <c r="C23" s="3" t="s">
        <v>459</v>
      </c>
      <c r="D23" s="3" t="s">
        <v>470</v>
      </c>
      <c r="E23" s="304" t="s">
        <v>99</v>
      </c>
      <c r="F23" s="39" t="str">
        <f>Отчет!$C$4</f>
        <v>МБОУ СОШ № 153</v>
      </c>
      <c r="G23" s="12">
        <v>10</v>
      </c>
      <c r="H23" s="12">
        <v>10</v>
      </c>
      <c r="I23" s="5"/>
      <c r="J23" s="39" t="s">
        <v>126</v>
      </c>
      <c r="K23" s="309">
        <v>26</v>
      </c>
      <c r="L23" s="12">
        <v>104</v>
      </c>
      <c r="M23" s="4">
        <f t="shared" si="0"/>
        <v>0.25</v>
      </c>
      <c r="N23" s="3" t="s">
        <v>50</v>
      </c>
      <c r="O23" s="39" t="s">
        <v>76</v>
      </c>
      <c r="P23" s="105" t="s">
        <v>22</v>
      </c>
      <c r="Q23" s="21"/>
      <c r="R23" s="315">
        <f>Отчет!$Q$4</f>
        <v>937015</v>
      </c>
    </row>
    <row r="24" spans="1:18" ht="12.75">
      <c r="A24" s="39">
        <v>23</v>
      </c>
      <c r="B24" s="3" t="s">
        <v>662</v>
      </c>
      <c r="C24" s="3" t="s">
        <v>663</v>
      </c>
      <c r="D24" s="3" t="s">
        <v>386</v>
      </c>
      <c r="E24" s="304" t="s">
        <v>99</v>
      </c>
      <c r="F24" s="39" t="str">
        <f>Отчет!$C$4</f>
        <v>МБОУ СОШ № 153</v>
      </c>
      <c r="G24" s="12">
        <v>10</v>
      </c>
      <c r="H24" s="12">
        <v>10</v>
      </c>
      <c r="I24" s="5"/>
      <c r="J24" s="39" t="s">
        <v>126</v>
      </c>
      <c r="K24" s="309">
        <v>8</v>
      </c>
      <c r="L24" s="12">
        <v>104</v>
      </c>
      <c r="M24" s="4">
        <f t="shared" si="0"/>
        <v>0.07692307692307693</v>
      </c>
      <c r="N24" s="3" t="s">
        <v>58</v>
      </c>
      <c r="O24" s="39" t="s">
        <v>76</v>
      </c>
      <c r="P24" s="105" t="s">
        <v>22</v>
      </c>
      <c r="Q24" s="21"/>
      <c r="R24" s="315">
        <f>Отчет!$Q$4</f>
        <v>937015</v>
      </c>
    </row>
    <row r="25" spans="1:18" ht="12.75">
      <c r="A25" s="39">
        <v>24</v>
      </c>
      <c r="B25" s="3" t="s">
        <v>593</v>
      </c>
      <c r="C25" s="3" t="s">
        <v>516</v>
      </c>
      <c r="D25" s="3" t="s">
        <v>471</v>
      </c>
      <c r="E25" s="304" t="s">
        <v>98</v>
      </c>
      <c r="F25" s="39" t="str">
        <f>Отчет!$C$4</f>
        <v>МБОУ СОШ № 153</v>
      </c>
      <c r="G25" s="12">
        <v>10</v>
      </c>
      <c r="H25" s="12">
        <v>10</v>
      </c>
      <c r="I25" s="5"/>
      <c r="J25" s="39" t="s">
        <v>126</v>
      </c>
      <c r="K25" s="309">
        <v>6</v>
      </c>
      <c r="L25" s="12">
        <v>104</v>
      </c>
      <c r="M25" s="4">
        <f t="shared" si="0"/>
        <v>0.057692307692307696</v>
      </c>
      <c r="N25" s="3" t="s">
        <v>58</v>
      </c>
      <c r="O25" s="39" t="s">
        <v>76</v>
      </c>
      <c r="P25" s="105" t="s">
        <v>22</v>
      </c>
      <c r="Q25" s="21"/>
      <c r="R25" s="315">
        <f>Отчет!$Q$4</f>
        <v>937015</v>
      </c>
    </row>
    <row r="26" spans="1:18" ht="12.75">
      <c r="A26" s="39">
        <v>25</v>
      </c>
      <c r="B26" s="3" t="s">
        <v>634</v>
      </c>
      <c r="C26" s="3" t="s">
        <v>487</v>
      </c>
      <c r="D26" s="3" t="s">
        <v>378</v>
      </c>
      <c r="E26" s="304" t="s">
        <v>99</v>
      </c>
      <c r="F26" s="39" t="str">
        <f>Отчет!$C$4</f>
        <v>МБОУ СОШ № 153</v>
      </c>
      <c r="G26" s="12">
        <v>10</v>
      </c>
      <c r="H26" s="12">
        <v>10</v>
      </c>
      <c r="I26" s="5"/>
      <c r="J26" s="39" t="s">
        <v>126</v>
      </c>
      <c r="K26" s="309">
        <v>6</v>
      </c>
      <c r="L26" s="12">
        <v>104</v>
      </c>
      <c r="M26" s="4">
        <f t="shared" si="0"/>
        <v>0.057692307692307696</v>
      </c>
      <c r="N26" s="3" t="s">
        <v>58</v>
      </c>
      <c r="O26" s="39" t="s">
        <v>76</v>
      </c>
      <c r="P26" s="105" t="s">
        <v>22</v>
      </c>
      <c r="Q26" s="21"/>
      <c r="R26" s="315">
        <f>Отчет!$Q$4</f>
        <v>937015</v>
      </c>
    </row>
    <row r="27" spans="1:18" ht="12.75">
      <c r="A27" s="39">
        <v>26</v>
      </c>
      <c r="B27" s="3" t="s">
        <v>631</v>
      </c>
      <c r="C27" s="3" t="s">
        <v>370</v>
      </c>
      <c r="D27" s="3" t="s">
        <v>480</v>
      </c>
      <c r="E27" s="304" t="s">
        <v>99</v>
      </c>
      <c r="F27" s="39" t="str">
        <f>Отчет!$C$4</f>
        <v>МБОУ СОШ № 153</v>
      </c>
      <c r="G27" s="12">
        <v>10</v>
      </c>
      <c r="H27" s="12">
        <v>10</v>
      </c>
      <c r="I27" s="5"/>
      <c r="J27" s="39" t="s">
        <v>126</v>
      </c>
      <c r="K27" s="309">
        <v>4</v>
      </c>
      <c r="L27" s="12">
        <v>104</v>
      </c>
      <c r="M27" s="4">
        <f t="shared" si="0"/>
        <v>0.038461538461538464</v>
      </c>
      <c r="N27" s="3" t="s">
        <v>58</v>
      </c>
      <c r="O27" s="39" t="s">
        <v>76</v>
      </c>
      <c r="P27" s="105" t="s">
        <v>22</v>
      </c>
      <c r="Q27" s="21"/>
      <c r="R27" s="315">
        <f>Отчет!$Q$4</f>
        <v>937015</v>
      </c>
    </row>
    <row r="28" spans="1:16" ht="12.75">
      <c r="A28" s="69"/>
      <c r="B28" s="69"/>
      <c r="C28" s="69"/>
      <c r="D28" s="69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69"/>
      <c r="B29" s="69"/>
      <c r="C29" s="69"/>
      <c r="D29" s="69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69"/>
      <c r="B30" s="69"/>
      <c r="C30" s="69"/>
      <c r="D30" s="69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69"/>
      <c r="B31" s="69"/>
      <c r="C31" s="69"/>
      <c r="D31" s="69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69"/>
      <c r="B32" s="69"/>
      <c r="C32" s="69"/>
      <c r="D32" s="69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69"/>
      <c r="B33" s="69"/>
      <c r="C33" s="69"/>
      <c r="D33" s="69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69"/>
      <c r="D34" s="69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69"/>
      <c r="D35" s="69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69"/>
      <c r="D36" s="69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69"/>
      <c r="D37" s="69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69"/>
      <c r="D38" s="69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69"/>
      <c r="D39" s="69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69"/>
      <c r="D40" s="69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69"/>
      <c r="D41" s="69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69"/>
      <c r="D42" s="69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69"/>
      <c r="D43" s="69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69"/>
      <c r="D44" s="69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69"/>
      <c r="D45" s="69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69"/>
      <c r="D46" s="69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69"/>
      <c r="D47" s="69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69"/>
      <c r="D48" s="69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69"/>
      <c r="D49" s="69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69"/>
      <c r="D50" s="69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37">
      <selection activeCell="J2" sqref="J2:J64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3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93" t="s">
        <v>0</v>
      </c>
      <c r="C1" s="93" t="s">
        <v>1</v>
      </c>
      <c r="D1" s="93" t="s">
        <v>2</v>
      </c>
      <c r="E1" s="15" t="s">
        <v>84</v>
      </c>
      <c r="F1" s="16" t="s">
        <v>97</v>
      </c>
      <c r="G1" s="93" t="s">
        <v>3</v>
      </c>
      <c r="H1" s="93" t="s">
        <v>105</v>
      </c>
      <c r="I1" s="15" t="s">
        <v>26</v>
      </c>
      <c r="J1" s="15" t="s">
        <v>124</v>
      </c>
      <c r="K1" s="93" t="s">
        <v>4</v>
      </c>
      <c r="L1" s="94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0">
        <f>IF(COUNTIF(Q1:Q1000,"Введите дату рождения")&lt;&gt;0,"1","")</f>
      </c>
    </row>
    <row r="2" spans="1:18" ht="12.75">
      <c r="A2" s="308">
        <v>1</v>
      </c>
      <c r="B2" s="39" t="s">
        <v>412</v>
      </c>
      <c r="C2" s="39" t="s">
        <v>413</v>
      </c>
      <c r="D2" s="39" t="s">
        <v>414</v>
      </c>
      <c r="E2" s="42" t="s">
        <v>402</v>
      </c>
      <c r="F2" s="39" t="s">
        <v>153</v>
      </c>
      <c r="G2" s="176">
        <v>4</v>
      </c>
      <c r="H2" s="270">
        <v>4</v>
      </c>
      <c r="I2" s="39"/>
      <c r="J2" s="39" t="s">
        <v>126</v>
      </c>
      <c r="K2" s="165">
        <v>33</v>
      </c>
      <c r="L2" s="39">
        <v>33</v>
      </c>
      <c r="M2" s="59">
        <f aca="true" t="shared" si="0" ref="M2:M35">K2/L2</f>
        <v>1</v>
      </c>
      <c r="N2" s="39" t="s">
        <v>49</v>
      </c>
      <c r="O2" s="39" t="s">
        <v>76</v>
      </c>
      <c r="P2" s="21" t="s">
        <v>10</v>
      </c>
      <c r="Q2" s="134"/>
      <c r="R2" s="271">
        <f>Отчет!$Q$4</f>
        <v>937015</v>
      </c>
    </row>
    <row r="3" spans="1:18" ht="12.75">
      <c r="A3" s="308">
        <v>2</v>
      </c>
      <c r="B3" s="39" t="s">
        <v>719</v>
      </c>
      <c r="C3" s="39" t="s">
        <v>400</v>
      </c>
      <c r="D3" s="39" t="s">
        <v>401</v>
      </c>
      <c r="E3" s="42" t="s">
        <v>402</v>
      </c>
      <c r="F3" s="39" t="s">
        <v>153</v>
      </c>
      <c r="G3" s="176">
        <v>4</v>
      </c>
      <c r="H3" s="270">
        <v>4</v>
      </c>
      <c r="I3" s="39"/>
      <c r="J3" s="39" t="s">
        <v>126</v>
      </c>
      <c r="K3" s="165">
        <v>33</v>
      </c>
      <c r="L3" s="39">
        <v>33</v>
      </c>
      <c r="M3" s="59">
        <f t="shared" si="0"/>
        <v>1</v>
      </c>
      <c r="N3" s="39" t="s">
        <v>49</v>
      </c>
      <c r="O3" s="39" t="s">
        <v>76</v>
      </c>
      <c r="P3" s="21" t="s">
        <v>10</v>
      </c>
      <c r="Q3" s="134"/>
      <c r="R3" s="271">
        <f>Отчет!$Q$4</f>
        <v>937015</v>
      </c>
    </row>
    <row r="4" spans="1:18" ht="12.75">
      <c r="A4" s="308">
        <v>3</v>
      </c>
      <c r="B4" s="21" t="s">
        <v>403</v>
      </c>
      <c r="C4" s="39" t="s">
        <v>568</v>
      </c>
      <c r="D4" s="39" t="s">
        <v>374</v>
      </c>
      <c r="E4" s="42" t="s">
        <v>392</v>
      </c>
      <c r="F4" s="39" t="s">
        <v>153</v>
      </c>
      <c r="G4" s="176">
        <v>4</v>
      </c>
      <c r="H4" s="270">
        <v>4</v>
      </c>
      <c r="I4" s="39"/>
      <c r="J4" s="39" t="s">
        <v>126</v>
      </c>
      <c r="K4" s="165">
        <v>33</v>
      </c>
      <c r="L4" s="39">
        <v>33</v>
      </c>
      <c r="M4" s="59">
        <f t="shared" si="0"/>
        <v>1</v>
      </c>
      <c r="N4" s="39" t="s">
        <v>49</v>
      </c>
      <c r="O4" s="39" t="s">
        <v>76</v>
      </c>
      <c r="P4" s="21" t="s">
        <v>10</v>
      </c>
      <c r="Q4" s="134"/>
      <c r="R4" s="271">
        <f>Отчет!$Q$4</f>
        <v>937015</v>
      </c>
    </row>
    <row r="5" spans="1:18" ht="12.75">
      <c r="A5" s="308">
        <v>4</v>
      </c>
      <c r="B5" s="21" t="s">
        <v>718</v>
      </c>
      <c r="C5" s="39" t="s">
        <v>487</v>
      </c>
      <c r="D5" s="39" t="s">
        <v>374</v>
      </c>
      <c r="E5" s="42" t="s">
        <v>392</v>
      </c>
      <c r="F5" s="39" t="s">
        <v>153</v>
      </c>
      <c r="G5" s="176">
        <v>4</v>
      </c>
      <c r="H5" s="270">
        <v>4</v>
      </c>
      <c r="I5" s="39"/>
      <c r="J5" s="39" t="s">
        <v>126</v>
      </c>
      <c r="K5" s="165">
        <v>29</v>
      </c>
      <c r="L5" s="39">
        <v>33</v>
      </c>
      <c r="M5" s="59">
        <f t="shared" si="0"/>
        <v>0.8787878787878788</v>
      </c>
      <c r="N5" s="39" t="s">
        <v>50</v>
      </c>
      <c r="O5" s="39" t="s">
        <v>76</v>
      </c>
      <c r="P5" s="21" t="s">
        <v>10</v>
      </c>
      <c r="Q5" s="134"/>
      <c r="R5" s="271">
        <f>Отчет!$Q$4</f>
        <v>937015</v>
      </c>
    </row>
    <row r="6" spans="1:18" ht="12.75">
      <c r="A6" s="308">
        <v>5</v>
      </c>
      <c r="B6" s="21" t="s">
        <v>717</v>
      </c>
      <c r="C6" s="39" t="s">
        <v>562</v>
      </c>
      <c r="D6" s="39" t="s">
        <v>688</v>
      </c>
      <c r="E6" s="42" t="s">
        <v>392</v>
      </c>
      <c r="F6" s="39" t="s">
        <v>153</v>
      </c>
      <c r="G6" s="176">
        <v>4</v>
      </c>
      <c r="H6" s="270">
        <v>4</v>
      </c>
      <c r="I6" s="39"/>
      <c r="J6" s="39" t="s">
        <v>126</v>
      </c>
      <c r="K6" s="165">
        <v>29</v>
      </c>
      <c r="L6" s="39">
        <v>33</v>
      </c>
      <c r="M6" s="59">
        <f t="shared" si="0"/>
        <v>0.8787878787878788</v>
      </c>
      <c r="N6" s="39" t="s">
        <v>50</v>
      </c>
      <c r="O6" s="39" t="s">
        <v>76</v>
      </c>
      <c r="P6" s="21" t="s">
        <v>10</v>
      </c>
      <c r="Q6" s="134"/>
      <c r="R6" s="271">
        <f>Отчет!$Q$4</f>
        <v>937015</v>
      </c>
    </row>
    <row r="7" spans="1:18" ht="12.75">
      <c r="A7" s="308">
        <v>6</v>
      </c>
      <c r="B7" s="21" t="s">
        <v>716</v>
      </c>
      <c r="C7" s="39" t="s">
        <v>469</v>
      </c>
      <c r="D7" s="39" t="s">
        <v>715</v>
      </c>
      <c r="E7" s="42" t="s">
        <v>392</v>
      </c>
      <c r="F7" s="39" t="s">
        <v>153</v>
      </c>
      <c r="G7" s="176">
        <v>4</v>
      </c>
      <c r="H7" s="270">
        <v>4</v>
      </c>
      <c r="I7" s="39"/>
      <c r="J7" s="39" t="s">
        <v>126</v>
      </c>
      <c r="K7" s="165">
        <v>29</v>
      </c>
      <c r="L7" s="39">
        <v>33</v>
      </c>
      <c r="M7" s="59">
        <f t="shared" si="0"/>
        <v>0.8787878787878788</v>
      </c>
      <c r="N7" s="39" t="s">
        <v>50</v>
      </c>
      <c r="O7" s="39" t="s">
        <v>76</v>
      </c>
      <c r="P7" s="21" t="s">
        <v>10</v>
      </c>
      <c r="Q7" s="134"/>
      <c r="R7" s="271">
        <f>Отчет!$Q$4</f>
        <v>937015</v>
      </c>
    </row>
    <row r="8" spans="1:18" ht="12.75">
      <c r="A8" s="308">
        <v>7</v>
      </c>
      <c r="B8" s="21" t="s">
        <v>444</v>
      </c>
      <c r="C8" s="39" t="s">
        <v>445</v>
      </c>
      <c r="D8" s="39" t="s">
        <v>401</v>
      </c>
      <c r="E8" s="42" t="s">
        <v>402</v>
      </c>
      <c r="F8" s="39" t="s">
        <v>153</v>
      </c>
      <c r="G8" s="176">
        <v>4</v>
      </c>
      <c r="H8" s="270">
        <v>4</v>
      </c>
      <c r="I8" s="39"/>
      <c r="J8" s="39" t="s">
        <v>126</v>
      </c>
      <c r="K8" s="165">
        <v>29</v>
      </c>
      <c r="L8" s="39">
        <v>33</v>
      </c>
      <c r="M8" s="59">
        <f t="shared" si="0"/>
        <v>0.8787878787878788</v>
      </c>
      <c r="N8" s="39" t="s">
        <v>50</v>
      </c>
      <c r="O8" s="39" t="s">
        <v>76</v>
      </c>
      <c r="P8" s="21" t="s">
        <v>10</v>
      </c>
      <c r="Q8" s="134"/>
      <c r="R8" s="271">
        <f>Отчет!$Q$4</f>
        <v>937015</v>
      </c>
    </row>
    <row r="9" spans="1:18" ht="12.75">
      <c r="A9" s="308">
        <v>8</v>
      </c>
      <c r="B9" s="39" t="s">
        <v>591</v>
      </c>
      <c r="C9" s="39" t="s">
        <v>653</v>
      </c>
      <c r="D9" s="39" t="s">
        <v>460</v>
      </c>
      <c r="E9" s="42" t="s">
        <v>392</v>
      </c>
      <c r="F9" s="39" t="s">
        <v>153</v>
      </c>
      <c r="G9" s="176">
        <v>4</v>
      </c>
      <c r="H9" s="270">
        <v>4</v>
      </c>
      <c r="I9" s="39"/>
      <c r="J9" s="39" t="s">
        <v>126</v>
      </c>
      <c r="K9" s="165">
        <v>26</v>
      </c>
      <c r="L9" s="39">
        <v>33</v>
      </c>
      <c r="M9" s="59">
        <f t="shared" si="0"/>
        <v>0.7878787878787878</v>
      </c>
      <c r="N9" s="39" t="s">
        <v>58</v>
      </c>
      <c r="O9" s="39" t="s">
        <v>76</v>
      </c>
      <c r="P9" s="21" t="s">
        <v>10</v>
      </c>
      <c r="Q9" s="134"/>
      <c r="R9" s="271">
        <f>Отчет!$Q$4</f>
        <v>937015</v>
      </c>
    </row>
    <row r="10" spans="1:18" ht="12.75">
      <c r="A10" s="308">
        <v>9</v>
      </c>
      <c r="B10" s="21" t="s">
        <v>431</v>
      </c>
      <c r="C10" s="39" t="s">
        <v>432</v>
      </c>
      <c r="D10" s="39" t="s">
        <v>433</v>
      </c>
      <c r="E10" s="42" t="s">
        <v>392</v>
      </c>
      <c r="F10" s="39" t="s">
        <v>153</v>
      </c>
      <c r="G10" s="176">
        <v>4</v>
      </c>
      <c r="H10" s="270">
        <v>4</v>
      </c>
      <c r="I10" s="39"/>
      <c r="J10" s="39" t="s">
        <v>126</v>
      </c>
      <c r="K10" s="165">
        <v>26</v>
      </c>
      <c r="L10" s="39">
        <v>33</v>
      </c>
      <c r="M10" s="59">
        <f t="shared" si="0"/>
        <v>0.7878787878787878</v>
      </c>
      <c r="N10" s="39" t="s">
        <v>58</v>
      </c>
      <c r="O10" s="39" t="s">
        <v>76</v>
      </c>
      <c r="P10" s="21" t="s">
        <v>10</v>
      </c>
      <c r="Q10" s="134"/>
      <c r="R10" s="271">
        <f>Отчет!$Q$4</f>
        <v>937015</v>
      </c>
    </row>
    <row r="11" spans="1:18" ht="12.75">
      <c r="A11" s="308">
        <v>10</v>
      </c>
      <c r="B11" s="21" t="s">
        <v>720</v>
      </c>
      <c r="C11" s="39" t="s">
        <v>390</v>
      </c>
      <c r="D11" s="39" t="s">
        <v>391</v>
      </c>
      <c r="E11" s="42" t="s">
        <v>392</v>
      </c>
      <c r="F11" s="39" t="s">
        <v>153</v>
      </c>
      <c r="G11" s="176">
        <v>4</v>
      </c>
      <c r="H11" s="270">
        <v>4</v>
      </c>
      <c r="I11" s="39"/>
      <c r="J11" s="39" t="s">
        <v>126</v>
      </c>
      <c r="K11" s="165">
        <v>26</v>
      </c>
      <c r="L11" s="39">
        <v>33</v>
      </c>
      <c r="M11" s="59">
        <f t="shared" si="0"/>
        <v>0.7878787878787878</v>
      </c>
      <c r="N11" s="39" t="s">
        <v>58</v>
      </c>
      <c r="O11" s="39" t="s">
        <v>76</v>
      </c>
      <c r="P11" s="21" t="s">
        <v>10</v>
      </c>
      <c r="Q11" s="134"/>
      <c r="R11" s="271">
        <f>Отчет!$Q$4</f>
        <v>937015</v>
      </c>
    </row>
    <row r="12" spans="1:18" ht="12.75">
      <c r="A12" s="308">
        <v>11</v>
      </c>
      <c r="B12" s="21" t="s">
        <v>420</v>
      </c>
      <c r="C12" s="39" t="s">
        <v>400</v>
      </c>
      <c r="D12" s="39" t="s">
        <v>422</v>
      </c>
      <c r="E12" s="42" t="s">
        <v>402</v>
      </c>
      <c r="F12" s="39" t="s">
        <v>153</v>
      </c>
      <c r="G12" s="176">
        <v>4</v>
      </c>
      <c r="H12" s="270">
        <v>4</v>
      </c>
      <c r="I12" s="39"/>
      <c r="J12" s="39" t="s">
        <v>126</v>
      </c>
      <c r="K12" s="165">
        <v>26</v>
      </c>
      <c r="L12" s="39">
        <v>33</v>
      </c>
      <c r="M12" s="59">
        <f t="shared" si="0"/>
        <v>0.7878787878787878</v>
      </c>
      <c r="N12" s="39" t="s">
        <v>58</v>
      </c>
      <c r="O12" s="39" t="s">
        <v>76</v>
      </c>
      <c r="P12" s="21" t="s">
        <v>10</v>
      </c>
      <c r="Q12" s="134"/>
      <c r="R12" s="271">
        <f>Отчет!$Q$4</f>
        <v>937015</v>
      </c>
    </row>
    <row r="13" spans="1:18" ht="12.75">
      <c r="A13" s="308">
        <v>12</v>
      </c>
      <c r="B13" s="21" t="s">
        <v>721</v>
      </c>
      <c r="C13" s="39" t="s">
        <v>413</v>
      </c>
      <c r="D13" s="39" t="s">
        <v>426</v>
      </c>
      <c r="E13" s="42" t="s">
        <v>402</v>
      </c>
      <c r="F13" s="39" t="s">
        <v>153</v>
      </c>
      <c r="G13" s="176">
        <v>4</v>
      </c>
      <c r="H13" s="270">
        <v>4</v>
      </c>
      <c r="I13" s="39"/>
      <c r="J13" s="39" t="s">
        <v>126</v>
      </c>
      <c r="K13" s="165">
        <v>24</v>
      </c>
      <c r="L13" s="39">
        <v>33</v>
      </c>
      <c r="M13" s="59">
        <f t="shared" si="0"/>
        <v>0.7272727272727273</v>
      </c>
      <c r="N13" s="39" t="s">
        <v>58</v>
      </c>
      <c r="O13" s="39" t="s">
        <v>76</v>
      </c>
      <c r="P13" s="21" t="s">
        <v>10</v>
      </c>
      <c r="Q13" s="134"/>
      <c r="R13" s="271">
        <f>Отчет!$Q$4</f>
        <v>937015</v>
      </c>
    </row>
    <row r="14" spans="1:18" ht="12.75">
      <c r="A14" s="308">
        <v>13</v>
      </c>
      <c r="B14" s="21" t="s">
        <v>441</v>
      </c>
      <c r="C14" s="39" t="s">
        <v>442</v>
      </c>
      <c r="D14" s="39" t="s">
        <v>443</v>
      </c>
      <c r="E14" s="42" t="s">
        <v>402</v>
      </c>
      <c r="F14" s="39" t="s">
        <v>153</v>
      </c>
      <c r="G14" s="176">
        <v>4</v>
      </c>
      <c r="H14" s="270">
        <v>4</v>
      </c>
      <c r="I14" s="39"/>
      <c r="J14" s="39" t="s">
        <v>126</v>
      </c>
      <c r="K14" s="165">
        <v>23</v>
      </c>
      <c r="L14" s="39">
        <v>33</v>
      </c>
      <c r="M14" s="59">
        <f t="shared" si="0"/>
        <v>0.696969696969697</v>
      </c>
      <c r="N14" s="39" t="s">
        <v>58</v>
      </c>
      <c r="O14" s="39" t="s">
        <v>76</v>
      </c>
      <c r="P14" s="21" t="s">
        <v>10</v>
      </c>
      <c r="Q14" s="134"/>
      <c r="R14" s="271">
        <f>Отчет!$Q$4</f>
        <v>937015</v>
      </c>
    </row>
    <row r="15" spans="1:18" ht="12.75">
      <c r="A15" s="308">
        <v>14</v>
      </c>
      <c r="B15" s="21" t="s">
        <v>396</v>
      </c>
      <c r="C15" s="39" t="s">
        <v>397</v>
      </c>
      <c r="D15" s="39" t="s">
        <v>378</v>
      </c>
      <c r="E15" s="42" t="s">
        <v>392</v>
      </c>
      <c r="F15" s="39" t="s">
        <v>153</v>
      </c>
      <c r="G15" s="176">
        <v>4</v>
      </c>
      <c r="H15" s="270">
        <v>4</v>
      </c>
      <c r="I15" s="39"/>
      <c r="J15" s="39" t="s">
        <v>126</v>
      </c>
      <c r="K15" s="165">
        <v>22</v>
      </c>
      <c r="L15" s="39">
        <v>33</v>
      </c>
      <c r="M15" s="59">
        <f t="shared" si="0"/>
        <v>0.6666666666666666</v>
      </c>
      <c r="N15" s="39" t="s">
        <v>58</v>
      </c>
      <c r="O15" s="39" t="s">
        <v>76</v>
      </c>
      <c r="P15" s="21" t="s">
        <v>10</v>
      </c>
      <c r="Q15" s="134"/>
      <c r="R15" s="271">
        <f>Отчет!$Q$4</f>
        <v>937015</v>
      </c>
    </row>
    <row r="16" spans="1:18" ht="12.75">
      <c r="A16" s="308">
        <v>15</v>
      </c>
      <c r="B16" s="39" t="s">
        <v>723</v>
      </c>
      <c r="C16" s="39" t="s">
        <v>642</v>
      </c>
      <c r="D16" s="39" t="s">
        <v>722</v>
      </c>
      <c r="E16" s="42" t="s">
        <v>402</v>
      </c>
      <c r="F16" s="39" t="s">
        <v>153</v>
      </c>
      <c r="G16" s="176">
        <v>4</v>
      </c>
      <c r="H16" s="270">
        <v>4</v>
      </c>
      <c r="I16" s="39"/>
      <c r="J16" s="39" t="s">
        <v>126</v>
      </c>
      <c r="K16" s="165">
        <v>22</v>
      </c>
      <c r="L16" s="39">
        <v>33</v>
      </c>
      <c r="M16" s="59">
        <f t="shared" si="0"/>
        <v>0.6666666666666666</v>
      </c>
      <c r="N16" s="39" t="s">
        <v>58</v>
      </c>
      <c r="O16" s="39" t="s">
        <v>76</v>
      </c>
      <c r="P16" s="21" t="s">
        <v>10</v>
      </c>
      <c r="Q16" s="134"/>
      <c r="R16" s="271">
        <f>Отчет!$Q$4</f>
        <v>937015</v>
      </c>
    </row>
    <row r="17" spans="1:18" ht="12.75">
      <c r="A17" s="308">
        <v>16</v>
      </c>
      <c r="B17" s="21" t="s">
        <v>410</v>
      </c>
      <c r="C17" s="39" t="s">
        <v>390</v>
      </c>
      <c r="D17" s="39" t="s">
        <v>411</v>
      </c>
      <c r="E17" s="42" t="s">
        <v>392</v>
      </c>
      <c r="F17" s="39" t="s">
        <v>153</v>
      </c>
      <c r="G17" s="176">
        <v>4</v>
      </c>
      <c r="H17" s="270">
        <v>4</v>
      </c>
      <c r="I17" s="39"/>
      <c r="J17" s="39" t="s">
        <v>126</v>
      </c>
      <c r="K17" s="165">
        <v>22</v>
      </c>
      <c r="L17" s="39">
        <v>33</v>
      </c>
      <c r="M17" s="59">
        <f t="shared" si="0"/>
        <v>0.6666666666666666</v>
      </c>
      <c r="N17" s="39" t="s">
        <v>58</v>
      </c>
      <c r="O17" s="39" t="s">
        <v>76</v>
      </c>
      <c r="P17" s="21" t="s">
        <v>10</v>
      </c>
      <c r="Q17" s="134"/>
      <c r="R17" s="271">
        <f>Отчет!$Q$4</f>
        <v>937015</v>
      </c>
    </row>
    <row r="18" spans="1:18" ht="12.75">
      <c r="A18" s="308">
        <v>17</v>
      </c>
      <c r="B18" s="21" t="s">
        <v>724</v>
      </c>
      <c r="C18" s="39" t="s">
        <v>397</v>
      </c>
      <c r="D18" s="39" t="s">
        <v>374</v>
      </c>
      <c r="E18" s="42" t="s">
        <v>392</v>
      </c>
      <c r="F18" s="39" t="s">
        <v>153</v>
      </c>
      <c r="G18" s="176">
        <v>4</v>
      </c>
      <c r="H18" s="270">
        <v>4</v>
      </c>
      <c r="I18" s="39"/>
      <c r="J18" s="39" t="s">
        <v>126</v>
      </c>
      <c r="K18" s="165">
        <v>20</v>
      </c>
      <c r="L18" s="39">
        <v>33</v>
      </c>
      <c r="M18" s="59">
        <f t="shared" si="0"/>
        <v>0.6060606060606061</v>
      </c>
      <c r="N18" s="39" t="s">
        <v>58</v>
      </c>
      <c r="O18" s="39" t="s">
        <v>76</v>
      </c>
      <c r="P18" s="21" t="s">
        <v>10</v>
      </c>
      <c r="Q18" s="134"/>
      <c r="R18" s="271">
        <f>Отчет!$Q$4</f>
        <v>937015</v>
      </c>
    </row>
    <row r="19" spans="1:18" ht="12.75">
      <c r="A19" s="308">
        <v>18</v>
      </c>
      <c r="B19" s="39" t="s">
        <v>725</v>
      </c>
      <c r="C19" s="39" t="s">
        <v>439</v>
      </c>
      <c r="D19" s="39" t="s">
        <v>582</v>
      </c>
      <c r="E19" s="42" t="s">
        <v>392</v>
      </c>
      <c r="F19" s="39" t="s">
        <v>153</v>
      </c>
      <c r="G19" s="176">
        <v>4</v>
      </c>
      <c r="H19" s="270">
        <v>4</v>
      </c>
      <c r="I19" s="41"/>
      <c r="J19" s="39" t="s">
        <v>126</v>
      </c>
      <c r="K19" s="41">
        <v>18</v>
      </c>
      <c r="L19" s="39">
        <v>33</v>
      </c>
      <c r="M19" s="59">
        <f t="shared" si="0"/>
        <v>0.5454545454545454</v>
      </c>
      <c r="N19" s="39" t="s">
        <v>58</v>
      </c>
      <c r="O19" s="39" t="s">
        <v>76</v>
      </c>
      <c r="P19" s="105" t="s">
        <v>10</v>
      </c>
      <c r="Q19" s="134"/>
      <c r="R19" s="271">
        <f>Отчет!$Q$4</f>
        <v>937015</v>
      </c>
    </row>
    <row r="20" spans="1:18" ht="12.75">
      <c r="A20" s="308">
        <v>19</v>
      </c>
      <c r="B20" s="39" t="s">
        <v>427</v>
      </c>
      <c r="C20" s="39" t="s">
        <v>428</v>
      </c>
      <c r="D20" s="39" t="s">
        <v>374</v>
      </c>
      <c r="E20" s="42" t="s">
        <v>402</v>
      </c>
      <c r="F20" s="39" t="s">
        <v>153</v>
      </c>
      <c r="G20" s="176">
        <v>4</v>
      </c>
      <c r="H20" s="270">
        <v>4</v>
      </c>
      <c r="I20" s="41"/>
      <c r="J20" s="39" t="s">
        <v>126</v>
      </c>
      <c r="K20" s="41">
        <v>18</v>
      </c>
      <c r="L20" s="39">
        <v>33</v>
      </c>
      <c r="M20" s="59">
        <f t="shared" si="0"/>
        <v>0.5454545454545454</v>
      </c>
      <c r="N20" s="39" t="s">
        <v>58</v>
      </c>
      <c r="O20" s="39" t="s">
        <v>76</v>
      </c>
      <c r="P20" s="21" t="s">
        <v>10</v>
      </c>
      <c r="Q20" s="134"/>
      <c r="R20" s="271">
        <f>Отчет!$Q$4</f>
        <v>937015</v>
      </c>
    </row>
    <row r="21" spans="1:18" ht="12.75">
      <c r="A21" s="308">
        <v>20</v>
      </c>
      <c r="B21" s="39" t="s">
        <v>728</v>
      </c>
      <c r="C21" s="39" t="s">
        <v>727</v>
      </c>
      <c r="D21" s="39" t="s">
        <v>726</v>
      </c>
      <c r="E21" s="42" t="s">
        <v>402</v>
      </c>
      <c r="F21" s="39" t="s">
        <v>153</v>
      </c>
      <c r="G21" s="176">
        <v>4</v>
      </c>
      <c r="H21" s="270">
        <v>4</v>
      </c>
      <c r="I21" s="41"/>
      <c r="J21" s="39" t="s">
        <v>126</v>
      </c>
      <c r="K21" s="41">
        <v>18</v>
      </c>
      <c r="L21" s="39">
        <v>33</v>
      </c>
      <c r="M21" s="59">
        <f t="shared" si="0"/>
        <v>0.5454545454545454</v>
      </c>
      <c r="N21" s="39" t="s">
        <v>58</v>
      </c>
      <c r="O21" s="39" t="s">
        <v>76</v>
      </c>
      <c r="P21" s="21" t="s">
        <v>10</v>
      </c>
      <c r="Q21" s="134"/>
      <c r="R21" s="271">
        <f>Отчет!$Q$4</f>
        <v>937015</v>
      </c>
    </row>
    <row r="22" spans="1:18" ht="12.75">
      <c r="A22" s="308">
        <v>21</v>
      </c>
      <c r="B22" s="21" t="s">
        <v>730</v>
      </c>
      <c r="C22" s="39" t="s">
        <v>729</v>
      </c>
      <c r="D22" s="39" t="s">
        <v>467</v>
      </c>
      <c r="E22" s="42" t="s">
        <v>402</v>
      </c>
      <c r="F22" s="39" t="s">
        <v>153</v>
      </c>
      <c r="G22" s="176">
        <v>4</v>
      </c>
      <c r="H22" s="270">
        <v>4</v>
      </c>
      <c r="I22" s="39"/>
      <c r="J22" s="39" t="s">
        <v>126</v>
      </c>
      <c r="K22" s="165">
        <v>18</v>
      </c>
      <c r="L22" s="39">
        <v>33</v>
      </c>
      <c r="M22" s="59">
        <f t="shared" si="0"/>
        <v>0.5454545454545454</v>
      </c>
      <c r="N22" s="39" t="s">
        <v>58</v>
      </c>
      <c r="O22" s="39" t="s">
        <v>76</v>
      </c>
      <c r="P22" s="21" t="s">
        <v>10</v>
      </c>
      <c r="Q22" s="134"/>
      <c r="R22" s="271">
        <f>Отчет!$Q$4</f>
        <v>937015</v>
      </c>
    </row>
    <row r="23" spans="1:18" ht="12.75">
      <c r="A23" s="308">
        <v>22</v>
      </c>
      <c r="B23" s="21" t="s">
        <v>732</v>
      </c>
      <c r="C23" s="39" t="s">
        <v>445</v>
      </c>
      <c r="D23" s="39" t="s">
        <v>731</v>
      </c>
      <c r="E23" s="42" t="s">
        <v>402</v>
      </c>
      <c r="F23" s="39" t="s">
        <v>153</v>
      </c>
      <c r="G23" s="176">
        <v>4</v>
      </c>
      <c r="H23" s="270">
        <v>4</v>
      </c>
      <c r="I23" s="39"/>
      <c r="J23" s="39" t="s">
        <v>126</v>
      </c>
      <c r="K23" s="165">
        <v>17</v>
      </c>
      <c r="L23" s="39">
        <v>33</v>
      </c>
      <c r="M23" s="59">
        <f t="shared" si="0"/>
        <v>0.5151515151515151</v>
      </c>
      <c r="N23" s="39" t="s">
        <v>58</v>
      </c>
      <c r="O23" s="39" t="s">
        <v>76</v>
      </c>
      <c r="P23" s="21" t="s">
        <v>10</v>
      </c>
      <c r="Q23" s="134"/>
      <c r="R23" s="271">
        <f>Отчет!$Q$4</f>
        <v>937015</v>
      </c>
    </row>
    <row r="24" spans="1:18" ht="12.75">
      <c r="A24" s="308">
        <v>23</v>
      </c>
      <c r="B24" s="100" t="s">
        <v>735</v>
      </c>
      <c r="C24" s="100" t="s">
        <v>734</v>
      </c>
      <c r="D24" s="100" t="s">
        <v>448</v>
      </c>
      <c r="E24" s="104" t="s">
        <v>402</v>
      </c>
      <c r="F24" s="39" t="s">
        <v>153</v>
      </c>
      <c r="G24" s="176">
        <v>4</v>
      </c>
      <c r="H24" s="270">
        <v>4</v>
      </c>
      <c r="I24" s="102"/>
      <c r="J24" s="39" t="s">
        <v>126</v>
      </c>
      <c r="K24" s="102">
        <v>15</v>
      </c>
      <c r="L24" s="39">
        <v>33</v>
      </c>
      <c r="M24" s="59">
        <f t="shared" si="0"/>
        <v>0.45454545454545453</v>
      </c>
      <c r="N24" s="39" t="s">
        <v>58</v>
      </c>
      <c r="O24" s="39" t="s">
        <v>76</v>
      </c>
      <c r="P24" s="21" t="s">
        <v>10</v>
      </c>
      <c r="Q24" s="134"/>
      <c r="R24" s="271">
        <f>Отчет!$Q$4</f>
        <v>937015</v>
      </c>
    </row>
    <row r="25" spans="1:18" ht="12.75">
      <c r="A25" s="308">
        <v>24</v>
      </c>
      <c r="B25" s="39" t="s">
        <v>733</v>
      </c>
      <c r="C25" s="39" t="s">
        <v>400</v>
      </c>
      <c r="D25" s="39" t="s">
        <v>407</v>
      </c>
      <c r="E25" s="42" t="s">
        <v>402</v>
      </c>
      <c r="F25" s="39" t="s">
        <v>153</v>
      </c>
      <c r="G25" s="176">
        <v>4</v>
      </c>
      <c r="H25" s="270">
        <v>4</v>
      </c>
      <c r="I25" s="197"/>
      <c r="J25" s="39" t="s">
        <v>126</v>
      </c>
      <c r="K25" s="203">
        <v>15</v>
      </c>
      <c r="L25" s="39">
        <v>33</v>
      </c>
      <c r="M25" s="59">
        <f t="shared" si="0"/>
        <v>0.45454545454545453</v>
      </c>
      <c r="N25" s="39" t="s">
        <v>58</v>
      </c>
      <c r="O25" s="39" t="s">
        <v>76</v>
      </c>
      <c r="P25" s="21" t="s">
        <v>10</v>
      </c>
      <c r="Q25" s="134"/>
      <c r="R25" s="271">
        <f>Отчет!$Q$4</f>
        <v>937015</v>
      </c>
    </row>
    <row r="26" spans="1:18" ht="12.75">
      <c r="A26" s="308">
        <v>25</v>
      </c>
      <c r="B26" s="21" t="s">
        <v>458</v>
      </c>
      <c r="C26" s="39" t="s">
        <v>459</v>
      </c>
      <c r="D26" s="39" t="s">
        <v>460</v>
      </c>
      <c r="E26" s="42" t="s">
        <v>392</v>
      </c>
      <c r="F26" s="39" t="s">
        <v>153</v>
      </c>
      <c r="G26" s="176">
        <v>4</v>
      </c>
      <c r="H26" s="270">
        <v>4</v>
      </c>
      <c r="I26" s="39"/>
      <c r="J26" s="39" t="s">
        <v>126</v>
      </c>
      <c r="K26" s="165">
        <v>15</v>
      </c>
      <c r="L26" s="39">
        <v>33</v>
      </c>
      <c r="M26" s="96">
        <f t="shared" si="0"/>
        <v>0.45454545454545453</v>
      </c>
      <c r="N26" s="39" t="s">
        <v>58</v>
      </c>
      <c r="O26" s="39" t="s">
        <v>76</v>
      </c>
      <c r="P26" s="21" t="s">
        <v>10</v>
      </c>
      <c r="Q26" s="134"/>
      <c r="R26" s="271">
        <f>Отчет!$Q$4</f>
        <v>937015</v>
      </c>
    </row>
    <row r="27" spans="1:18" ht="12.75">
      <c r="A27" s="308">
        <v>26</v>
      </c>
      <c r="B27" s="21" t="s">
        <v>454</v>
      </c>
      <c r="C27" s="39" t="s">
        <v>455</v>
      </c>
      <c r="D27" s="39" t="s">
        <v>456</v>
      </c>
      <c r="E27" s="42" t="s">
        <v>392</v>
      </c>
      <c r="F27" s="39" t="s">
        <v>153</v>
      </c>
      <c r="G27" s="176">
        <v>4</v>
      </c>
      <c r="H27" s="270">
        <v>4</v>
      </c>
      <c r="I27" s="39"/>
      <c r="J27" s="39" t="s">
        <v>126</v>
      </c>
      <c r="K27" s="165">
        <v>13</v>
      </c>
      <c r="L27" s="39">
        <v>33</v>
      </c>
      <c r="M27" s="96">
        <f t="shared" si="0"/>
        <v>0.3939393939393939</v>
      </c>
      <c r="N27" s="39" t="s">
        <v>58</v>
      </c>
      <c r="O27" s="39" t="s">
        <v>76</v>
      </c>
      <c r="P27" s="21" t="s">
        <v>10</v>
      </c>
      <c r="Q27" s="134"/>
      <c r="R27" s="271">
        <f>Отчет!$Q$4</f>
        <v>937015</v>
      </c>
    </row>
    <row r="28" spans="1:18" ht="12.75">
      <c r="A28" s="308">
        <v>27</v>
      </c>
      <c r="B28" s="21" t="s">
        <v>464</v>
      </c>
      <c r="C28" s="39" t="s">
        <v>465</v>
      </c>
      <c r="D28" s="39" t="s">
        <v>422</v>
      </c>
      <c r="E28" s="42" t="s">
        <v>402</v>
      </c>
      <c r="F28" s="39" t="s">
        <v>153</v>
      </c>
      <c r="G28" s="176">
        <v>4</v>
      </c>
      <c r="H28" s="270">
        <v>4</v>
      </c>
      <c r="I28" s="39"/>
      <c r="J28" s="39" t="s">
        <v>126</v>
      </c>
      <c r="K28" s="165">
        <v>13</v>
      </c>
      <c r="L28" s="39">
        <v>33</v>
      </c>
      <c r="M28" s="96">
        <f t="shared" si="0"/>
        <v>0.3939393939393939</v>
      </c>
      <c r="N28" s="39" t="s">
        <v>58</v>
      </c>
      <c r="O28" s="39" t="s">
        <v>76</v>
      </c>
      <c r="P28" s="21" t="s">
        <v>10</v>
      </c>
      <c r="Q28" s="134"/>
      <c r="R28" s="271">
        <f>Отчет!$Q$4</f>
        <v>937015</v>
      </c>
    </row>
    <row r="29" spans="1:18" ht="12.75">
      <c r="A29" s="308">
        <v>28</v>
      </c>
      <c r="B29" s="21" t="s">
        <v>451</v>
      </c>
      <c r="C29" s="39" t="s">
        <v>452</v>
      </c>
      <c r="D29" s="39" t="s">
        <v>453</v>
      </c>
      <c r="E29" s="42" t="s">
        <v>402</v>
      </c>
      <c r="F29" s="39" t="s">
        <v>153</v>
      </c>
      <c r="G29" s="176">
        <v>4</v>
      </c>
      <c r="H29" s="270">
        <v>4</v>
      </c>
      <c r="I29" s="39"/>
      <c r="J29" s="39" t="s">
        <v>126</v>
      </c>
      <c r="K29" s="165">
        <v>12</v>
      </c>
      <c r="L29" s="39">
        <v>33</v>
      </c>
      <c r="M29" s="96">
        <f t="shared" si="0"/>
        <v>0.36363636363636365</v>
      </c>
      <c r="N29" s="39" t="s">
        <v>58</v>
      </c>
      <c r="O29" s="39" t="s">
        <v>76</v>
      </c>
      <c r="P29" s="21" t="s">
        <v>10</v>
      </c>
      <c r="Q29" s="134"/>
      <c r="R29" s="271">
        <f>Отчет!$Q$4</f>
        <v>937015</v>
      </c>
    </row>
    <row r="30" spans="1:18" ht="12.75">
      <c r="A30" s="308">
        <v>29</v>
      </c>
      <c r="B30" s="21" t="s">
        <v>457</v>
      </c>
      <c r="C30" s="39" t="s">
        <v>388</v>
      </c>
      <c r="D30" s="39" t="s">
        <v>378</v>
      </c>
      <c r="E30" s="42" t="s">
        <v>392</v>
      </c>
      <c r="F30" s="39" t="s">
        <v>153</v>
      </c>
      <c r="G30" s="176">
        <v>4</v>
      </c>
      <c r="H30" s="270">
        <v>4</v>
      </c>
      <c r="I30" s="39"/>
      <c r="J30" s="39" t="s">
        <v>126</v>
      </c>
      <c r="K30" s="165">
        <v>10</v>
      </c>
      <c r="L30" s="39">
        <v>33</v>
      </c>
      <c r="M30" s="96">
        <f t="shared" si="0"/>
        <v>0.30303030303030304</v>
      </c>
      <c r="N30" s="39" t="s">
        <v>58</v>
      </c>
      <c r="O30" s="39" t="s">
        <v>76</v>
      </c>
      <c r="P30" s="21" t="s">
        <v>10</v>
      </c>
      <c r="Q30" s="134"/>
      <c r="R30" s="271">
        <f>Отчет!$Q$4</f>
        <v>937015</v>
      </c>
    </row>
    <row r="31" spans="1:18" ht="12.75">
      <c r="A31" s="308">
        <v>30</v>
      </c>
      <c r="B31" s="21" t="s">
        <v>461</v>
      </c>
      <c r="C31" s="39" t="s">
        <v>462</v>
      </c>
      <c r="D31" s="39" t="s">
        <v>463</v>
      </c>
      <c r="E31" s="42" t="s">
        <v>392</v>
      </c>
      <c r="F31" s="39" t="s">
        <v>153</v>
      </c>
      <c r="G31" s="176">
        <v>4</v>
      </c>
      <c r="H31" s="270">
        <v>4</v>
      </c>
      <c r="I31" s="39"/>
      <c r="J31" s="39" t="s">
        <v>126</v>
      </c>
      <c r="K31" s="165">
        <v>10</v>
      </c>
      <c r="L31" s="39">
        <v>33</v>
      </c>
      <c r="M31" s="96">
        <f t="shared" si="0"/>
        <v>0.30303030303030304</v>
      </c>
      <c r="N31" s="39" t="s">
        <v>58</v>
      </c>
      <c r="O31" s="39" t="s">
        <v>76</v>
      </c>
      <c r="P31" s="21" t="s">
        <v>10</v>
      </c>
      <c r="Q31" s="134"/>
      <c r="R31" s="271">
        <f>Отчет!$Q$4</f>
        <v>937015</v>
      </c>
    </row>
    <row r="32" spans="1:18" ht="12.75">
      <c r="A32" s="308">
        <v>31</v>
      </c>
      <c r="B32" s="39" t="s">
        <v>739</v>
      </c>
      <c r="C32" s="39" t="s">
        <v>738</v>
      </c>
      <c r="D32" s="39" t="s">
        <v>545</v>
      </c>
      <c r="E32" s="42" t="s">
        <v>402</v>
      </c>
      <c r="F32" s="39" t="s">
        <v>153</v>
      </c>
      <c r="G32" s="176">
        <v>4</v>
      </c>
      <c r="H32" s="270">
        <v>4</v>
      </c>
      <c r="I32" s="39"/>
      <c r="J32" s="39" t="s">
        <v>126</v>
      </c>
      <c r="K32" s="165">
        <v>10</v>
      </c>
      <c r="L32" s="39">
        <v>33</v>
      </c>
      <c r="M32" s="96">
        <f t="shared" si="0"/>
        <v>0.30303030303030304</v>
      </c>
      <c r="N32" s="39" t="s">
        <v>58</v>
      </c>
      <c r="O32" s="39" t="s">
        <v>76</v>
      </c>
      <c r="P32" s="21" t="s">
        <v>10</v>
      </c>
      <c r="Q32" s="134"/>
      <c r="R32" s="271">
        <f>Отчет!$Q$4</f>
        <v>937015</v>
      </c>
    </row>
    <row r="33" spans="1:18" ht="12.75">
      <c r="A33" s="308">
        <v>32</v>
      </c>
      <c r="B33" s="39" t="s">
        <v>736</v>
      </c>
      <c r="C33" s="39" t="s">
        <v>469</v>
      </c>
      <c r="D33" s="39" t="s">
        <v>395</v>
      </c>
      <c r="E33" s="39" t="s">
        <v>392</v>
      </c>
      <c r="F33" s="39" t="s">
        <v>153</v>
      </c>
      <c r="G33" s="39">
        <v>4</v>
      </c>
      <c r="H33" s="270">
        <v>4</v>
      </c>
      <c r="I33" s="41"/>
      <c r="J33" s="39" t="s">
        <v>126</v>
      </c>
      <c r="K33" s="41">
        <v>5</v>
      </c>
      <c r="L33" s="39">
        <v>33</v>
      </c>
      <c r="M33" s="122">
        <f t="shared" si="0"/>
        <v>0.15151515151515152</v>
      </c>
      <c r="N33" s="39" t="s">
        <v>58</v>
      </c>
      <c r="O33" s="39" t="s">
        <v>76</v>
      </c>
      <c r="P33" s="21" t="s">
        <v>10</v>
      </c>
      <c r="Q33" s="134"/>
      <c r="R33" s="271">
        <f>Отчет!$Q$4</f>
        <v>937015</v>
      </c>
    </row>
    <row r="34" spans="1:18" ht="12.75">
      <c r="A34" s="308">
        <v>33</v>
      </c>
      <c r="B34" s="21" t="s">
        <v>418</v>
      </c>
      <c r="C34" s="39" t="s">
        <v>419</v>
      </c>
      <c r="D34" s="39" t="s">
        <v>391</v>
      </c>
      <c r="E34" s="39" t="s">
        <v>392</v>
      </c>
      <c r="F34" s="39" t="s">
        <v>153</v>
      </c>
      <c r="G34" s="39">
        <v>4</v>
      </c>
      <c r="H34" s="270">
        <v>4</v>
      </c>
      <c r="I34" s="39"/>
      <c r="J34" s="39" t="s">
        <v>126</v>
      </c>
      <c r="K34" s="165">
        <v>3</v>
      </c>
      <c r="L34" s="39">
        <v>33</v>
      </c>
      <c r="M34" s="322">
        <f t="shared" si="0"/>
        <v>0.09090909090909091</v>
      </c>
      <c r="N34" s="39" t="s">
        <v>58</v>
      </c>
      <c r="O34" s="39" t="s">
        <v>76</v>
      </c>
      <c r="P34" s="21" t="s">
        <v>10</v>
      </c>
      <c r="Q34" s="134"/>
      <c r="R34" s="271">
        <f>Отчет!$Q$4</f>
        <v>937015</v>
      </c>
    </row>
    <row r="35" spans="1:18" ht="12.75">
      <c r="A35" s="308">
        <v>34</v>
      </c>
      <c r="B35" s="39" t="s">
        <v>737</v>
      </c>
      <c r="C35" s="39" t="s">
        <v>400</v>
      </c>
      <c r="D35" s="39" t="s">
        <v>448</v>
      </c>
      <c r="E35" s="39" t="s">
        <v>402</v>
      </c>
      <c r="F35" s="39" t="s">
        <v>153</v>
      </c>
      <c r="G35" s="39">
        <v>4</v>
      </c>
      <c r="H35" s="270">
        <v>4</v>
      </c>
      <c r="I35" s="41"/>
      <c r="J35" s="39" t="s">
        <v>126</v>
      </c>
      <c r="K35" s="41">
        <v>1</v>
      </c>
      <c r="L35" s="39">
        <v>35</v>
      </c>
      <c r="M35" s="122">
        <f t="shared" si="0"/>
        <v>0.02857142857142857</v>
      </c>
      <c r="N35" s="39" t="s">
        <v>58</v>
      </c>
      <c r="O35" s="39" t="s">
        <v>76</v>
      </c>
      <c r="P35" s="21" t="s">
        <v>10</v>
      </c>
      <c r="Q35" s="134"/>
      <c r="R35" s="271">
        <f>Отчет!$Q$4</f>
        <v>937015</v>
      </c>
    </row>
    <row r="36" spans="1:18" ht="12.75">
      <c r="A36" s="308">
        <v>35</v>
      </c>
      <c r="B36" s="39" t="s">
        <v>696</v>
      </c>
      <c r="C36" s="39" t="s">
        <v>487</v>
      </c>
      <c r="D36" s="39" t="s">
        <v>697</v>
      </c>
      <c r="E36" s="42" t="s">
        <v>99</v>
      </c>
      <c r="F36" s="39" t="s">
        <v>153</v>
      </c>
      <c r="G36" s="176">
        <v>5</v>
      </c>
      <c r="H36" s="269">
        <f aca="true" t="shared" si="1" ref="H36:H64">G36</f>
        <v>5</v>
      </c>
      <c r="I36" s="39"/>
      <c r="J36" s="39" t="s">
        <v>126</v>
      </c>
      <c r="K36" s="165">
        <v>35</v>
      </c>
      <c r="L36" s="39">
        <v>35</v>
      </c>
      <c r="M36" s="4">
        <f aca="true" t="shared" si="2" ref="M36:M49">K36/L36</f>
        <v>1</v>
      </c>
      <c r="N36" s="3" t="s">
        <v>49</v>
      </c>
      <c r="O36" s="39" t="s">
        <v>76</v>
      </c>
      <c r="P36" s="21" t="s">
        <v>10</v>
      </c>
      <c r="Q36" s="134">
        <f aca="true" t="shared" si="3" ref="Q36:Q64">IF(G36=H36,"","Введите дату рождения")</f>
      </c>
      <c r="R36" s="271">
        <f>Отчет!$Q$4</f>
        <v>937015</v>
      </c>
    </row>
    <row r="37" spans="1:18" ht="12.75">
      <c r="A37" s="308">
        <v>36</v>
      </c>
      <c r="B37" s="39" t="s">
        <v>521</v>
      </c>
      <c r="C37" s="39" t="s">
        <v>522</v>
      </c>
      <c r="D37" s="39" t="s">
        <v>643</v>
      </c>
      <c r="E37" s="42" t="s">
        <v>99</v>
      </c>
      <c r="F37" s="39" t="s">
        <v>153</v>
      </c>
      <c r="G37" s="176">
        <v>5</v>
      </c>
      <c r="H37" s="269">
        <f t="shared" si="1"/>
        <v>5</v>
      </c>
      <c r="I37" s="39"/>
      <c r="J37" s="39" t="s">
        <v>126</v>
      </c>
      <c r="K37" s="165">
        <v>28</v>
      </c>
      <c r="L37" s="39">
        <v>35</v>
      </c>
      <c r="M37" s="4">
        <f t="shared" si="2"/>
        <v>0.8</v>
      </c>
      <c r="N37" s="3" t="s">
        <v>50</v>
      </c>
      <c r="O37" s="39" t="s">
        <v>76</v>
      </c>
      <c r="P37" s="21" t="s">
        <v>10</v>
      </c>
      <c r="Q37" s="134">
        <f t="shared" si="3"/>
      </c>
      <c r="R37" s="271">
        <f>Отчет!$Q$4</f>
        <v>937015</v>
      </c>
    </row>
    <row r="38" spans="1:18" ht="12.75">
      <c r="A38" s="308">
        <v>37</v>
      </c>
      <c r="B38" s="21" t="s">
        <v>652</v>
      </c>
      <c r="C38" s="39" t="s">
        <v>653</v>
      </c>
      <c r="D38" s="39" t="s">
        <v>654</v>
      </c>
      <c r="E38" s="42" t="s">
        <v>99</v>
      </c>
      <c r="F38" s="39" t="s">
        <v>153</v>
      </c>
      <c r="G38" s="176">
        <v>5</v>
      </c>
      <c r="H38" s="269">
        <f t="shared" si="1"/>
        <v>5</v>
      </c>
      <c r="I38" s="39"/>
      <c r="J38" s="39" t="s">
        <v>126</v>
      </c>
      <c r="K38" s="165">
        <v>25</v>
      </c>
      <c r="L38" s="39">
        <v>35</v>
      </c>
      <c r="M38" s="4">
        <f t="shared" si="2"/>
        <v>0.7142857142857143</v>
      </c>
      <c r="N38" s="3" t="s">
        <v>58</v>
      </c>
      <c r="O38" s="39" t="s">
        <v>76</v>
      </c>
      <c r="P38" s="21" t="s">
        <v>10</v>
      </c>
      <c r="Q38" s="134">
        <f t="shared" si="3"/>
      </c>
      <c r="R38" s="271">
        <f>Отчет!$Q$4</f>
        <v>937015</v>
      </c>
    </row>
    <row r="39" spans="1:18" ht="12.75">
      <c r="A39" s="308">
        <v>38</v>
      </c>
      <c r="B39" s="21" t="s">
        <v>461</v>
      </c>
      <c r="C39" s="39" t="s">
        <v>698</v>
      </c>
      <c r="D39" s="39" t="s">
        <v>463</v>
      </c>
      <c r="E39" s="42" t="s">
        <v>99</v>
      </c>
      <c r="F39" s="39" t="s">
        <v>153</v>
      </c>
      <c r="G39" s="176">
        <v>5</v>
      </c>
      <c r="H39" s="269">
        <f t="shared" si="1"/>
        <v>5</v>
      </c>
      <c r="I39" s="39"/>
      <c r="J39" s="39" t="s">
        <v>126</v>
      </c>
      <c r="K39" s="165">
        <v>21</v>
      </c>
      <c r="L39" s="39">
        <v>35</v>
      </c>
      <c r="M39" s="4">
        <f t="shared" si="2"/>
        <v>0.6</v>
      </c>
      <c r="N39" s="3" t="s">
        <v>58</v>
      </c>
      <c r="O39" s="39" t="s">
        <v>76</v>
      </c>
      <c r="P39" s="21" t="s">
        <v>10</v>
      </c>
      <c r="Q39" s="134">
        <f t="shared" si="3"/>
      </c>
      <c r="R39" s="271">
        <f>Отчет!$Q$4</f>
        <v>937015</v>
      </c>
    </row>
    <row r="40" spans="1:18" ht="12.75">
      <c r="A40" s="308">
        <v>39</v>
      </c>
      <c r="B40" s="21" t="s">
        <v>699</v>
      </c>
      <c r="C40" s="39" t="s">
        <v>507</v>
      </c>
      <c r="D40" s="39" t="s">
        <v>700</v>
      </c>
      <c r="E40" s="42" t="s">
        <v>98</v>
      </c>
      <c r="F40" s="39" t="s">
        <v>153</v>
      </c>
      <c r="G40" s="176">
        <v>5</v>
      </c>
      <c r="H40" s="269">
        <f t="shared" si="1"/>
        <v>5</v>
      </c>
      <c r="I40" s="39"/>
      <c r="J40" s="39" t="s">
        <v>126</v>
      </c>
      <c r="K40" s="165">
        <v>21</v>
      </c>
      <c r="L40" s="39">
        <v>35</v>
      </c>
      <c r="M40" s="4">
        <f t="shared" si="2"/>
        <v>0.6</v>
      </c>
      <c r="N40" s="3" t="s">
        <v>58</v>
      </c>
      <c r="O40" s="39" t="s">
        <v>76</v>
      </c>
      <c r="P40" s="21" t="s">
        <v>10</v>
      </c>
      <c r="Q40" s="134">
        <f t="shared" si="3"/>
      </c>
      <c r="R40" s="271">
        <f>Отчет!$Q$4</f>
        <v>937015</v>
      </c>
    </row>
    <row r="41" spans="1:18" ht="12.75">
      <c r="A41" s="308">
        <v>40</v>
      </c>
      <c r="B41" s="21" t="s">
        <v>701</v>
      </c>
      <c r="C41" s="39" t="s">
        <v>562</v>
      </c>
      <c r="D41" s="39" t="s">
        <v>378</v>
      </c>
      <c r="E41" s="42" t="s">
        <v>99</v>
      </c>
      <c r="F41" s="39" t="s">
        <v>153</v>
      </c>
      <c r="G41" s="176">
        <v>5</v>
      </c>
      <c r="H41" s="269">
        <f t="shared" si="1"/>
        <v>5</v>
      </c>
      <c r="I41" s="39"/>
      <c r="J41" s="39" t="s">
        <v>126</v>
      </c>
      <c r="K41" s="165">
        <v>16</v>
      </c>
      <c r="L41" s="39">
        <v>35</v>
      </c>
      <c r="M41" s="4">
        <f t="shared" si="2"/>
        <v>0.45714285714285713</v>
      </c>
      <c r="N41" s="3" t="s">
        <v>58</v>
      </c>
      <c r="O41" s="39" t="s">
        <v>76</v>
      </c>
      <c r="P41" s="21" t="s">
        <v>10</v>
      </c>
      <c r="Q41" s="134">
        <f t="shared" si="3"/>
      </c>
      <c r="R41" s="271">
        <f>Отчет!$Q$4</f>
        <v>937015</v>
      </c>
    </row>
    <row r="42" spans="1:18" ht="12.75">
      <c r="A42" s="308">
        <v>41</v>
      </c>
      <c r="B42" s="21" t="s">
        <v>651</v>
      </c>
      <c r="C42" s="39" t="s">
        <v>370</v>
      </c>
      <c r="D42" s="39" t="s">
        <v>470</v>
      </c>
      <c r="E42" s="42" t="s">
        <v>99</v>
      </c>
      <c r="F42" s="39" t="s">
        <v>153</v>
      </c>
      <c r="G42" s="176">
        <v>5</v>
      </c>
      <c r="H42" s="269">
        <f t="shared" si="1"/>
        <v>5</v>
      </c>
      <c r="I42" s="39"/>
      <c r="J42" s="39" t="s">
        <v>126</v>
      </c>
      <c r="K42" s="165">
        <v>14</v>
      </c>
      <c r="L42" s="39">
        <v>35</v>
      </c>
      <c r="M42" s="4">
        <f t="shared" si="2"/>
        <v>0.4</v>
      </c>
      <c r="N42" s="3" t="s">
        <v>58</v>
      </c>
      <c r="O42" s="39" t="s">
        <v>76</v>
      </c>
      <c r="P42" s="21" t="s">
        <v>10</v>
      </c>
      <c r="Q42" s="134">
        <f t="shared" si="3"/>
      </c>
      <c r="R42" s="271">
        <f>Отчет!$Q$4</f>
        <v>937015</v>
      </c>
    </row>
    <row r="43" spans="1:18" ht="12.75">
      <c r="A43" s="308">
        <v>42</v>
      </c>
      <c r="B43" s="21" t="s">
        <v>702</v>
      </c>
      <c r="C43" s="39" t="s">
        <v>483</v>
      </c>
      <c r="D43" s="39" t="s">
        <v>470</v>
      </c>
      <c r="E43" s="42" t="s">
        <v>99</v>
      </c>
      <c r="F43" s="39" t="s">
        <v>153</v>
      </c>
      <c r="G43" s="176">
        <v>5</v>
      </c>
      <c r="H43" s="269">
        <f t="shared" si="1"/>
        <v>5</v>
      </c>
      <c r="I43" s="39"/>
      <c r="J43" s="39" t="s">
        <v>126</v>
      </c>
      <c r="K43" s="165">
        <v>14</v>
      </c>
      <c r="L43" s="39">
        <v>35</v>
      </c>
      <c r="M43" s="4">
        <f t="shared" si="2"/>
        <v>0.4</v>
      </c>
      <c r="N43" s="3" t="s">
        <v>58</v>
      </c>
      <c r="O43" s="39" t="s">
        <v>76</v>
      </c>
      <c r="P43" s="21" t="s">
        <v>10</v>
      </c>
      <c r="Q43" s="134">
        <f t="shared" si="3"/>
      </c>
      <c r="R43" s="271">
        <f>Отчет!$Q$4</f>
        <v>937015</v>
      </c>
    </row>
    <row r="44" spans="1:18" ht="12.75">
      <c r="A44" s="308">
        <v>43</v>
      </c>
      <c r="B44" s="21" t="s">
        <v>703</v>
      </c>
      <c r="C44" s="39" t="s">
        <v>459</v>
      </c>
      <c r="D44" s="39" t="s">
        <v>456</v>
      </c>
      <c r="E44" s="42" t="s">
        <v>99</v>
      </c>
      <c r="F44" s="39" t="s">
        <v>153</v>
      </c>
      <c r="G44" s="176">
        <v>5</v>
      </c>
      <c r="H44" s="269">
        <f t="shared" si="1"/>
        <v>5</v>
      </c>
      <c r="I44" s="39"/>
      <c r="J44" s="39" t="s">
        <v>126</v>
      </c>
      <c r="K44" s="165">
        <v>14</v>
      </c>
      <c r="L44" s="39">
        <v>35</v>
      </c>
      <c r="M44" s="4">
        <f t="shared" si="2"/>
        <v>0.4</v>
      </c>
      <c r="N44" s="3" t="s">
        <v>58</v>
      </c>
      <c r="O44" s="39" t="s">
        <v>76</v>
      </c>
      <c r="P44" s="21" t="s">
        <v>10</v>
      </c>
      <c r="Q44" s="134">
        <f t="shared" si="3"/>
      </c>
      <c r="R44" s="271">
        <f>Отчет!$Q$4</f>
        <v>937015</v>
      </c>
    </row>
    <row r="45" spans="1:18" ht="12.75">
      <c r="A45" s="308">
        <v>44</v>
      </c>
      <c r="B45" s="21" t="s">
        <v>704</v>
      </c>
      <c r="C45" s="39" t="s">
        <v>568</v>
      </c>
      <c r="D45" s="39" t="s">
        <v>654</v>
      </c>
      <c r="E45" s="42" t="s">
        <v>99</v>
      </c>
      <c r="F45" s="39" t="s">
        <v>153</v>
      </c>
      <c r="G45" s="176">
        <v>5</v>
      </c>
      <c r="H45" s="269">
        <f t="shared" si="1"/>
        <v>5</v>
      </c>
      <c r="I45" s="39"/>
      <c r="J45" s="39" t="s">
        <v>126</v>
      </c>
      <c r="K45" s="165">
        <v>8</v>
      </c>
      <c r="L45" s="39">
        <v>35</v>
      </c>
      <c r="M45" s="4">
        <f t="shared" si="2"/>
        <v>0.22857142857142856</v>
      </c>
      <c r="N45" s="3" t="s">
        <v>58</v>
      </c>
      <c r="O45" s="39" t="s">
        <v>76</v>
      </c>
      <c r="P45" s="21" t="s">
        <v>10</v>
      </c>
      <c r="Q45" s="134">
        <f t="shared" si="3"/>
      </c>
      <c r="R45" s="271">
        <f>Отчет!$Q$4</f>
        <v>937015</v>
      </c>
    </row>
    <row r="46" spans="1:18" ht="12.75">
      <c r="A46" s="308">
        <v>45</v>
      </c>
      <c r="B46" s="21" t="s">
        <v>705</v>
      </c>
      <c r="C46" s="39" t="s">
        <v>706</v>
      </c>
      <c r="D46" s="39" t="s">
        <v>480</v>
      </c>
      <c r="E46" s="42" t="s">
        <v>99</v>
      </c>
      <c r="F46" s="39" t="s">
        <v>153</v>
      </c>
      <c r="G46" s="176">
        <v>5</v>
      </c>
      <c r="H46" s="269">
        <f t="shared" si="1"/>
        <v>5</v>
      </c>
      <c r="I46" s="39"/>
      <c r="J46" s="39" t="s">
        <v>126</v>
      </c>
      <c r="K46" s="165">
        <v>7</v>
      </c>
      <c r="L46" s="39">
        <v>35</v>
      </c>
      <c r="M46" s="4">
        <f t="shared" si="2"/>
        <v>0.2</v>
      </c>
      <c r="N46" s="3" t="s">
        <v>58</v>
      </c>
      <c r="O46" s="39" t="s">
        <v>76</v>
      </c>
      <c r="P46" s="21" t="s">
        <v>10</v>
      </c>
      <c r="Q46" s="134">
        <f t="shared" si="3"/>
      </c>
      <c r="R46" s="271">
        <f>Отчет!$Q$4</f>
        <v>937015</v>
      </c>
    </row>
    <row r="47" spans="1:18" ht="12.75">
      <c r="A47" s="308">
        <v>46</v>
      </c>
      <c r="B47" s="21" t="s">
        <v>707</v>
      </c>
      <c r="C47" s="39" t="s">
        <v>708</v>
      </c>
      <c r="D47" s="39" t="s">
        <v>467</v>
      </c>
      <c r="E47" s="42" t="s">
        <v>98</v>
      </c>
      <c r="F47" s="39" t="s">
        <v>153</v>
      </c>
      <c r="G47" s="176">
        <v>6</v>
      </c>
      <c r="H47" s="269">
        <f t="shared" si="1"/>
        <v>6</v>
      </c>
      <c r="I47" s="39"/>
      <c r="J47" s="39" t="s">
        <v>126</v>
      </c>
      <c r="K47" s="165">
        <v>14</v>
      </c>
      <c r="L47" s="39">
        <v>35</v>
      </c>
      <c r="M47" s="4">
        <f t="shared" si="2"/>
        <v>0.4</v>
      </c>
      <c r="N47" s="3" t="s">
        <v>50</v>
      </c>
      <c r="O47" s="39" t="s">
        <v>76</v>
      </c>
      <c r="P47" s="21" t="s">
        <v>10</v>
      </c>
      <c r="Q47" s="134">
        <f t="shared" si="3"/>
      </c>
      <c r="R47" s="271">
        <f>Отчет!$Q$4</f>
        <v>937015</v>
      </c>
    </row>
    <row r="48" spans="1:18" ht="12.75">
      <c r="A48" s="308">
        <v>47</v>
      </c>
      <c r="B48" s="21" t="s">
        <v>709</v>
      </c>
      <c r="C48" s="39" t="s">
        <v>552</v>
      </c>
      <c r="D48" s="39" t="s">
        <v>414</v>
      </c>
      <c r="E48" s="42" t="s">
        <v>98</v>
      </c>
      <c r="F48" s="39" t="s">
        <v>153</v>
      </c>
      <c r="G48" s="176">
        <v>6</v>
      </c>
      <c r="H48" s="269">
        <f t="shared" si="1"/>
        <v>6</v>
      </c>
      <c r="I48" s="39"/>
      <c r="J48" s="39" t="s">
        <v>126</v>
      </c>
      <c r="K48" s="165">
        <v>7</v>
      </c>
      <c r="L48" s="39">
        <v>35</v>
      </c>
      <c r="M48" s="4">
        <f t="shared" si="2"/>
        <v>0.2</v>
      </c>
      <c r="N48" s="3" t="s">
        <v>58</v>
      </c>
      <c r="O48" s="39" t="s">
        <v>76</v>
      </c>
      <c r="P48" s="21" t="s">
        <v>10</v>
      </c>
      <c r="Q48" s="134">
        <f t="shared" si="3"/>
      </c>
      <c r="R48" s="271">
        <f>Отчет!$Q$4</f>
        <v>937015</v>
      </c>
    </row>
    <row r="49" spans="1:18" ht="12.75">
      <c r="A49" s="308">
        <v>48</v>
      </c>
      <c r="B49" s="21" t="s">
        <v>710</v>
      </c>
      <c r="C49" s="39" t="s">
        <v>459</v>
      </c>
      <c r="D49" s="39" t="s">
        <v>638</v>
      </c>
      <c r="E49" s="42" t="s">
        <v>99</v>
      </c>
      <c r="F49" s="39" t="s">
        <v>153</v>
      </c>
      <c r="G49" s="176">
        <v>6</v>
      </c>
      <c r="H49" s="269">
        <f t="shared" si="1"/>
        <v>6</v>
      </c>
      <c r="I49" s="39"/>
      <c r="J49" s="39" t="s">
        <v>126</v>
      </c>
      <c r="K49" s="165">
        <v>7</v>
      </c>
      <c r="L49" s="39">
        <v>35</v>
      </c>
      <c r="M49" s="4">
        <f t="shared" si="2"/>
        <v>0.2</v>
      </c>
      <c r="N49" s="3" t="s">
        <v>58</v>
      </c>
      <c r="O49" s="39" t="s">
        <v>76</v>
      </c>
      <c r="P49" s="21" t="s">
        <v>10</v>
      </c>
      <c r="Q49" s="134">
        <f t="shared" si="3"/>
      </c>
      <c r="R49" s="271">
        <f>Отчет!$Q$4</f>
        <v>937015</v>
      </c>
    </row>
    <row r="50" spans="1:18" ht="12.75">
      <c r="A50" s="308">
        <v>49</v>
      </c>
      <c r="B50" s="95" t="s">
        <v>486</v>
      </c>
      <c r="C50" s="95" t="s">
        <v>487</v>
      </c>
      <c r="D50" s="95" t="s">
        <v>470</v>
      </c>
      <c r="E50" s="174" t="s">
        <v>99</v>
      </c>
      <c r="F50" s="39" t="s">
        <v>153</v>
      </c>
      <c r="G50" s="176">
        <v>7</v>
      </c>
      <c r="H50" s="269">
        <f t="shared" si="1"/>
        <v>7</v>
      </c>
      <c r="I50" s="5"/>
      <c r="J50" s="39" t="s">
        <v>126</v>
      </c>
      <c r="K50" s="306">
        <v>21</v>
      </c>
      <c r="L50" s="39">
        <v>35</v>
      </c>
      <c r="M50" s="96">
        <f>K50/L50</f>
        <v>0.6</v>
      </c>
      <c r="N50" s="3" t="s">
        <v>49</v>
      </c>
      <c r="O50" s="39" t="s">
        <v>76</v>
      </c>
      <c r="P50" s="21" t="s">
        <v>10</v>
      </c>
      <c r="Q50" s="134">
        <f t="shared" si="3"/>
      </c>
      <c r="R50" s="271">
        <f>Отчет!$Q$4</f>
        <v>937015</v>
      </c>
    </row>
    <row r="51" spans="1:18" ht="12.75">
      <c r="A51" s="308">
        <v>50</v>
      </c>
      <c r="B51" s="95" t="s">
        <v>566</v>
      </c>
      <c r="C51" s="95" t="s">
        <v>489</v>
      </c>
      <c r="D51" s="95" t="s">
        <v>448</v>
      </c>
      <c r="E51" s="174" t="s">
        <v>98</v>
      </c>
      <c r="F51" s="39" t="s">
        <v>153</v>
      </c>
      <c r="G51" s="176">
        <v>7</v>
      </c>
      <c r="H51" s="269">
        <f t="shared" si="1"/>
        <v>7</v>
      </c>
      <c r="I51" s="5"/>
      <c r="J51" s="39" t="s">
        <v>126</v>
      </c>
      <c r="K51" s="306">
        <v>21</v>
      </c>
      <c r="L51" s="39">
        <v>35</v>
      </c>
      <c r="M51" s="96">
        <f>K51/L51</f>
        <v>0.6</v>
      </c>
      <c r="N51" s="3" t="s">
        <v>50</v>
      </c>
      <c r="O51" s="39" t="s">
        <v>76</v>
      </c>
      <c r="P51" s="21" t="s">
        <v>10</v>
      </c>
      <c r="Q51" s="134">
        <f t="shared" si="3"/>
      </c>
      <c r="R51" s="271">
        <f>Отчет!$Q$4</f>
        <v>937015</v>
      </c>
    </row>
    <row r="52" spans="1:18" ht="12.75">
      <c r="A52" s="308">
        <v>51</v>
      </c>
      <c r="B52" s="95" t="s">
        <v>492</v>
      </c>
      <c r="C52" s="95" t="s">
        <v>377</v>
      </c>
      <c r="D52" s="95" t="s">
        <v>480</v>
      </c>
      <c r="E52" s="174" t="s">
        <v>99</v>
      </c>
      <c r="F52" s="39" t="s">
        <v>153</v>
      </c>
      <c r="G52" s="176">
        <v>7</v>
      </c>
      <c r="H52" s="269">
        <f t="shared" si="1"/>
        <v>7</v>
      </c>
      <c r="I52" s="5"/>
      <c r="J52" s="39" t="s">
        <v>126</v>
      </c>
      <c r="K52" s="306">
        <v>21</v>
      </c>
      <c r="L52" s="39">
        <v>35</v>
      </c>
      <c r="M52" s="96">
        <f>K52/L52</f>
        <v>0.6</v>
      </c>
      <c r="N52" s="3" t="s">
        <v>58</v>
      </c>
      <c r="O52" s="39" t="s">
        <v>76</v>
      </c>
      <c r="P52" s="21" t="s">
        <v>10</v>
      </c>
      <c r="Q52" s="134">
        <f t="shared" si="3"/>
      </c>
      <c r="R52" s="271">
        <f>Отчет!$Q$4</f>
        <v>937015</v>
      </c>
    </row>
    <row r="53" spans="1:18" ht="12.75">
      <c r="A53" s="308">
        <v>52</v>
      </c>
      <c r="B53" s="114" t="s">
        <v>575</v>
      </c>
      <c r="C53" s="114" t="s">
        <v>679</v>
      </c>
      <c r="D53" s="114" t="s">
        <v>577</v>
      </c>
      <c r="E53" s="175" t="s">
        <v>98</v>
      </c>
      <c r="F53" s="39" t="s">
        <v>153</v>
      </c>
      <c r="G53" s="176">
        <v>7</v>
      </c>
      <c r="H53" s="269">
        <f t="shared" si="1"/>
        <v>7</v>
      </c>
      <c r="I53" s="5"/>
      <c r="J53" s="39" t="s">
        <v>126</v>
      </c>
      <c r="K53" s="307">
        <v>7</v>
      </c>
      <c r="L53" s="307">
        <v>35</v>
      </c>
      <c r="M53" s="96">
        <f>K53/L53</f>
        <v>0.2</v>
      </c>
      <c r="N53" s="3" t="s">
        <v>58</v>
      </c>
      <c r="O53" s="39" t="s">
        <v>76</v>
      </c>
      <c r="P53" s="21" t="s">
        <v>10</v>
      </c>
      <c r="Q53" s="134">
        <f t="shared" si="3"/>
      </c>
      <c r="R53" s="271">
        <f>Отчет!$Q$4</f>
        <v>937015</v>
      </c>
    </row>
    <row r="54" spans="1:18" ht="12.75">
      <c r="A54" s="308">
        <v>53</v>
      </c>
      <c r="B54" s="95" t="s">
        <v>493</v>
      </c>
      <c r="C54" s="95" t="s">
        <v>436</v>
      </c>
      <c r="D54" s="95" t="s">
        <v>407</v>
      </c>
      <c r="E54" s="170" t="s">
        <v>98</v>
      </c>
      <c r="F54" s="39" t="s">
        <v>153</v>
      </c>
      <c r="G54" s="176">
        <v>7</v>
      </c>
      <c r="H54" s="269">
        <f t="shared" si="1"/>
        <v>7</v>
      </c>
      <c r="I54" s="46"/>
      <c r="J54" s="39" t="s">
        <v>126</v>
      </c>
      <c r="K54" s="305">
        <v>7</v>
      </c>
      <c r="L54" s="306">
        <v>35</v>
      </c>
      <c r="M54" s="96">
        <f>K54/L54</f>
        <v>0.2</v>
      </c>
      <c r="N54" s="3" t="s">
        <v>58</v>
      </c>
      <c r="O54" s="39" t="s">
        <v>76</v>
      </c>
      <c r="P54" s="21" t="s">
        <v>10</v>
      </c>
      <c r="Q54" s="134">
        <f t="shared" si="3"/>
      </c>
      <c r="R54" s="271">
        <f>Отчет!$Q$4</f>
        <v>937015</v>
      </c>
    </row>
    <row r="55" spans="1:18" ht="12.75">
      <c r="A55" s="308">
        <v>54</v>
      </c>
      <c r="B55" s="21" t="s">
        <v>549</v>
      </c>
      <c r="C55" s="39" t="s">
        <v>548</v>
      </c>
      <c r="D55" s="39" t="s">
        <v>480</v>
      </c>
      <c r="E55" s="42" t="s">
        <v>99</v>
      </c>
      <c r="F55" s="39" t="s">
        <v>153</v>
      </c>
      <c r="G55" s="176">
        <v>8</v>
      </c>
      <c r="H55" s="269">
        <f t="shared" si="1"/>
        <v>8</v>
      </c>
      <c r="I55" s="39"/>
      <c r="J55" s="39" t="s">
        <v>126</v>
      </c>
      <c r="K55" s="165">
        <v>14</v>
      </c>
      <c r="L55" s="39">
        <v>35</v>
      </c>
      <c r="M55" s="4">
        <f aca="true" t="shared" si="4" ref="M55:M62">K55/L55</f>
        <v>0.4</v>
      </c>
      <c r="N55" s="3" t="s">
        <v>58</v>
      </c>
      <c r="O55" s="39" t="s">
        <v>76</v>
      </c>
      <c r="P55" s="21" t="s">
        <v>10</v>
      </c>
      <c r="Q55" s="134">
        <f t="shared" si="3"/>
      </c>
      <c r="R55" s="271">
        <f>Отчет!$Q$4</f>
        <v>937015</v>
      </c>
    </row>
    <row r="56" spans="1:18" ht="12.75">
      <c r="A56" s="308">
        <v>55</v>
      </c>
      <c r="B56" s="21" t="s">
        <v>624</v>
      </c>
      <c r="C56" s="39" t="s">
        <v>397</v>
      </c>
      <c r="D56" s="39" t="s">
        <v>470</v>
      </c>
      <c r="E56" s="42" t="s">
        <v>99</v>
      </c>
      <c r="F56" s="39" t="s">
        <v>153</v>
      </c>
      <c r="G56" s="176">
        <v>8</v>
      </c>
      <c r="H56" s="269">
        <f t="shared" si="1"/>
        <v>8</v>
      </c>
      <c r="I56" s="39"/>
      <c r="J56" s="39" t="s">
        <v>126</v>
      </c>
      <c r="K56" s="165">
        <v>7</v>
      </c>
      <c r="L56" s="39">
        <v>35</v>
      </c>
      <c r="M56" s="4">
        <f t="shared" si="4"/>
        <v>0.2</v>
      </c>
      <c r="N56" s="3" t="s">
        <v>58</v>
      </c>
      <c r="O56" s="39" t="s">
        <v>76</v>
      </c>
      <c r="P56" s="21" t="s">
        <v>10</v>
      </c>
      <c r="Q56" s="134">
        <f t="shared" si="3"/>
      </c>
      <c r="R56" s="271">
        <f>Отчет!$Q$4</f>
        <v>937015</v>
      </c>
    </row>
    <row r="57" spans="1:18" ht="12.75">
      <c r="A57" s="308">
        <v>56</v>
      </c>
      <c r="B57" s="21" t="s">
        <v>539</v>
      </c>
      <c r="C57" s="39" t="s">
        <v>419</v>
      </c>
      <c r="D57" s="39" t="s">
        <v>538</v>
      </c>
      <c r="E57" s="42" t="s">
        <v>99</v>
      </c>
      <c r="F57" s="39" t="s">
        <v>153</v>
      </c>
      <c r="G57" s="176">
        <v>8</v>
      </c>
      <c r="H57" s="269">
        <f t="shared" si="1"/>
        <v>8</v>
      </c>
      <c r="I57" s="39"/>
      <c r="J57" s="39" t="s">
        <v>126</v>
      </c>
      <c r="K57" s="165">
        <v>4</v>
      </c>
      <c r="L57" s="39">
        <v>35</v>
      </c>
      <c r="M57" s="4">
        <f t="shared" si="4"/>
        <v>0.11428571428571428</v>
      </c>
      <c r="N57" s="3" t="s">
        <v>58</v>
      </c>
      <c r="O57" s="39" t="s">
        <v>76</v>
      </c>
      <c r="P57" s="21" t="s">
        <v>10</v>
      </c>
      <c r="Q57" s="134">
        <f t="shared" si="3"/>
      </c>
      <c r="R57" s="271">
        <f>Отчет!$Q$4</f>
        <v>937015</v>
      </c>
    </row>
    <row r="58" spans="1:18" ht="12.75">
      <c r="A58" s="308">
        <v>57</v>
      </c>
      <c r="B58" s="21" t="s">
        <v>557</v>
      </c>
      <c r="C58" s="39" t="s">
        <v>445</v>
      </c>
      <c r="D58" s="39" t="s">
        <v>556</v>
      </c>
      <c r="E58" s="42" t="s">
        <v>98</v>
      </c>
      <c r="F58" s="39" t="s">
        <v>153</v>
      </c>
      <c r="G58" s="176">
        <v>9</v>
      </c>
      <c r="H58" s="269">
        <f t="shared" si="1"/>
        <v>9</v>
      </c>
      <c r="I58" s="39"/>
      <c r="J58" s="39" t="s">
        <v>126</v>
      </c>
      <c r="K58" s="165">
        <v>5</v>
      </c>
      <c r="L58" s="39">
        <v>35</v>
      </c>
      <c r="M58" s="4">
        <f t="shared" si="4"/>
        <v>0.14285714285714285</v>
      </c>
      <c r="N58" s="3" t="s">
        <v>58</v>
      </c>
      <c r="O58" s="39" t="s">
        <v>76</v>
      </c>
      <c r="P58" s="21" t="s">
        <v>10</v>
      </c>
      <c r="Q58" s="134">
        <f t="shared" si="3"/>
      </c>
      <c r="R58" s="271">
        <f>Отчет!$Q$4</f>
        <v>937015</v>
      </c>
    </row>
    <row r="59" spans="1:18" ht="12.75">
      <c r="A59" s="308">
        <v>58</v>
      </c>
      <c r="B59" s="21" t="s">
        <v>591</v>
      </c>
      <c r="C59" s="39" t="s">
        <v>592</v>
      </c>
      <c r="D59" s="39" t="s">
        <v>579</v>
      </c>
      <c r="E59" s="42" t="s">
        <v>99</v>
      </c>
      <c r="F59" s="39" t="s">
        <v>153</v>
      </c>
      <c r="G59" s="176">
        <v>10</v>
      </c>
      <c r="H59" s="269">
        <f t="shared" si="1"/>
        <v>10</v>
      </c>
      <c r="I59" s="39"/>
      <c r="J59" s="39" t="s">
        <v>126</v>
      </c>
      <c r="K59" s="165">
        <v>6</v>
      </c>
      <c r="L59" s="39">
        <v>35</v>
      </c>
      <c r="M59" s="4">
        <f t="shared" si="4"/>
        <v>0.17142857142857143</v>
      </c>
      <c r="N59" s="3" t="s">
        <v>58</v>
      </c>
      <c r="O59" s="39" t="s">
        <v>76</v>
      </c>
      <c r="P59" s="21" t="s">
        <v>10</v>
      </c>
      <c r="Q59" s="134">
        <f t="shared" si="3"/>
      </c>
      <c r="R59" s="271">
        <f>Отчет!$Q$4</f>
        <v>937015</v>
      </c>
    </row>
    <row r="60" spans="1:18" ht="12.75">
      <c r="A60" s="308">
        <v>59</v>
      </c>
      <c r="B60" s="21" t="s">
        <v>711</v>
      </c>
      <c r="C60" s="39" t="s">
        <v>712</v>
      </c>
      <c r="D60" s="39" t="s">
        <v>471</v>
      </c>
      <c r="E60" s="42" t="s">
        <v>98</v>
      </c>
      <c r="F60" s="39" t="s">
        <v>153</v>
      </c>
      <c r="G60" s="176">
        <v>10</v>
      </c>
      <c r="H60" s="269">
        <f t="shared" si="1"/>
        <v>10</v>
      </c>
      <c r="I60" s="39"/>
      <c r="J60" s="39" t="s">
        <v>126</v>
      </c>
      <c r="K60" s="165">
        <v>6</v>
      </c>
      <c r="L60" s="39">
        <v>35</v>
      </c>
      <c r="M60" s="4">
        <f t="shared" si="4"/>
        <v>0.17142857142857143</v>
      </c>
      <c r="N60" s="3" t="s">
        <v>58</v>
      </c>
      <c r="O60" s="39" t="s">
        <v>76</v>
      </c>
      <c r="P60" s="21" t="s">
        <v>10</v>
      </c>
      <c r="Q60" s="134">
        <f t="shared" si="3"/>
      </c>
      <c r="R60" s="271">
        <f>Отчет!$Q$4</f>
        <v>937015</v>
      </c>
    </row>
    <row r="61" spans="1:18" ht="12.75">
      <c r="A61" s="308">
        <v>60</v>
      </c>
      <c r="B61" s="21" t="s">
        <v>515</v>
      </c>
      <c r="C61" s="39" t="s">
        <v>517</v>
      </c>
      <c r="D61" s="39" t="s">
        <v>417</v>
      </c>
      <c r="E61" s="42" t="s">
        <v>98</v>
      </c>
      <c r="F61" s="39" t="s">
        <v>153</v>
      </c>
      <c r="G61" s="176">
        <v>10</v>
      </c>
      <c r="H61" s="269">
        <f t="shared" si="1"/>
        <v>10</v>
      </c>
      <c r="I61" s="39"/>
      <c r="J61" s="39" t="s">
        <v>126</v>
      </c>
      <c r="K61" s="165">
        <v>5</v>
      </c>
      <c r="L61" s="39">
        <v>35</v>
      </c>
      <c r="M61" s="4">
        <f t="shared" si="4"/>
        <v>0.14285714285714285</v>
      </c>
      <c r="N61" s="3" t="s">
        <v>58</v>
      </c>
      <c r="O61" s="39" t="s">
        <v>76</v>
      </c>
      <c r="P61" s="21" t="s">
        <v>10</v>
      </c>
      <c r="Q61" s="134">
        <f t="shared" si="3"/>
      </c>
      <c r="R61" s="271">
        <f>Отчет!$Q$4</f>
        <v>937015</v>
      </c>
    </row>
    <row r="62" spans="1:18" ht="12.75">
      <c r="A62" s="308">
        <v>61</v>
      </c>
      <c r="B62" s="21" t="s">
        <v>595</v>
      </c>
      <c r="C62" s="39" t="s">
        <v>507</v>
      </c>
      <c r="D62" s="39" t="s">
        <v>401</v>
      </c>
      <c r="E62" s="42" t="s">
        <v>98</v>
      </c>
      <c r="F62" s="39" t="s">
        <v>153</v>
      </c>
      <c r="G62" s="176">
        <v>11</v>
      </c>
      <c r="H62" s="269">
        <f t="shared" si="1"/>
        <v>11</v>
      </c>
      <c r="I62" s="39"/>
      <c r="J62" s="39" t="s">
        <v>126</v>
      </c>
      <c r="K62" s="165">
        <v>24</v>
      </c>
      <c r="L62" s="39">
        <v>35</v>
      </c>
      <c r="M62" s="4">
        <f t="shared" si="4"/>
        <v>0.6857142857142857</v>
      </c>
      <c r="N62" s="3" t="s">
        <v>50</v>
      </c>
      <c r="O62" s="39" t="s">
        <v>76</v>
      </c>
      <c r="P62" s="21" t="s">
        <v>10</v>
      </c>
      <c r="Q62" s="134">
        <f t="shared" si="3"/>
      </c>
      <c r="R62" s="271">
        <f>Отчет!$Q$4</f>
        <v>937015</v>
      </c>
    </row>
    <row r="63" spans="1:18" ht="12.75">
      <c r="A63" s="308">
        <v>62</v>
      </c>
      <c r="B63" s="95" t="s">
        <v>692</v>
      </c>
      <c r="C63" s="95" t="s">
        <v>693</v>
      </c>
      <c r="D63" s="95" t="s">
        <v>694</v>
      </c>
      <c r="E63" s="174" t="s">
        <v>99</v>
      </c>
      <c r="F63" s="39" t="s">
        <v>153</v>
      </c>
      <c r="G63" s="176">
        <v>11</v>
      </c>
      <c r="H63" s="269">
        <f t="shared" si="1"/>
        <v>11</v>
      </c>
      <c r="I63" s="5"/>
      <c r="J63" s="39" t="s">
        <v>126</v>
      </c>
      <c r="K63" s="306">
        <v>14</v>
      </c>
      <c r="L63" s="39">
        <v>35</v>
      </c>
      <c r="M63" s="96">
        <f>K63/L63</f>
        <v>0.4</v>
      </c>
      <c r="N63" s="3" t="s">
        <v>58</v>
      </c>
      <c r="O63" s="39" t="s">
        <v>76</v>
      </c>
      <c r="P63" s="21" t="s">
        <v>10</v>
      </c>
      <c r="Q63" s="134">
        <f t="shared" si="3"/>
      </c>
      <c r="R63" s="271">
        <f>Отчет!$Q$4</f>
        <v>937015</v>
      </c>
    </row>
    <row r="64" spans="1:18" ht="12.75">
      <c r="A64" s="308">
        <v>63</v>
      </c>
      <c r="B64" s="95" t="s">
        <v>375</v>
      </c>
      <c r="C64" s="95" t="s">
        <v>370</v>
      </c>
      <c r="D64" s="95" t="s">
        <v>371</v>
      </c>
      <c r="E64" s="174" t="s">
        <v>99</v>
      </c>
      <c r="F64" s="39" t="s">
        <v>153</v>
      </c>
      <c r="G64" s="176">
        <v>11</v>
      </c>
      <c r="H64" s="269">
        <f t="shared" si="1"/>
        <v>11</v>
      </c>
      <c r="I64" s="5"/>
      <c r="J64" s="39" t="s">
        <v>126</v>
      </c>
      <c r="K64" s="306">
        <v>12</v>
      </c>
      <c r="L64" s="39">
        <v>35</v>
      </c>
      <c r="M64" s="96">
        <f>K64/L64</f>
        <v>0.34285714285714286</v>
      </c>
      <c r="N64" s="3" t="s">
        <v>58</v>
      </c>
      <c r="O64" s="39" t="s">
        <v>76</v>
      </c>
      <c r="P64" s="21" t="s">
        <v>10</v>
      </c>
      <c r="Q64" s="134">
        <f t="shared" si="3"/>
      </c>
      <c r="R64" s="271">
        <f>Отчет!$Q$4</f>
        <v>937015</v>
      </c>
    </row>
  </sheetData>
  <sheetProtection formatCells="0" formatColumns="0" formatRows="0" insertHyperlinks="0" sort="0" autoFilter="0" pivotTables="0"/>
  <autoFilter ref="A1:Q1"/>
  <conditionalFormatting sqref="Q2:Q64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I2:I64">
      <formula1>Специализированные_классы</formula1>
    </dataValidation>
    <dataValidation type="list" allowBlank="1" showInputMessage="1" showErrorMessage="1" sqref="J2:J64">
      <formula1>ОВЗ</formula1>
    </dataValidation>
    <dataValidation type="list" allowBlank="1" showInputMessage="1" showErrorMessage="1" sqref="E2:E64">
      <formula1>Пол</formula1>
    </dataValidation>
    <dataValidation type="list" allowBlank="1" showInputMessage="1" showErrorMessage="1" sqref="N2:N64">
      <formula1>Статус</formula1>
    </dataValidation>
    <dataValidation type="list" allowBlank="1" showInputMessage="1" showErrorMessage="1" sqref="O2:O64">
      <formula1>Район</formula1>
    </dataValidation>
    <dataValidation type="list" allowBlank="1" showInputMessage="1" showErrorMessage="1" sqref="F2:F64">
      <formula1>ОУ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J2" sqref="J2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5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9">
        <f>IF(COUNTIF(Q1:Q1000,"Введите дату рождения")&lt;&gt;0,"1","")</f>
      </c>
    </row>
    <row r="2" spans="1:18" ht="12.75" customHeight="1">
      <c r="A2" s="42"/>
      <c r="B2" s="39"/>
      <c r="C2" s="39"/>
      <c r="D2" s="39"/>
      <c r="E2" s="42"/>
      <c r="F2" s="39" t="str">
        <f>Отчет!$C$4</f>
        <v>МБОУ СОШ № 153</v>
      </c>
      <c r="G2" s="176"/>
      <c r="H2" s="270">
        <f aca="true" t="shared" si="0" ref="H2:H20">G2</f>
        <v>0</v>
      </c>
      <c r="I2" s="39"/>
      <c r="J2" s="39"/>
      <c r="K2" s="165"/>
      <c r="L2" s="39"/>
      <c r="M2" s="4" t="e">
        <f aca="true" t="shared" si="1" ref="M2:M20">K2/L2</f>
        <v>#DIV/0!</v>
      </c>
      <c r="N2" s="39"/>
      <c r="O2" s="39"/>
      <c r="P2" s="21" t="s">
        <v>15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 t="str">
        <f>Отчет!$C$4</f>
        <v>МБОУ СОШ № 153</v>
      </c>
      <c r="G3" s="176"/>
      <c r="H3" s="270">
        <f t="shared" si="0"/>
        <v>0</v>
      </c>
      <c r="I3" s="39"/>
      <c r="J3" s="39"/>
      <c r="K3" s="165"/>
      <c r="L3" s="39"/>
      <c r="M3" s="4" t="e">
        <f t="shared" si="1"/>
        <v>#DIV/0!</v>
      </c>
      <c r="N3" s="39"/>
      <c r="O3" s="39"/>
      <c r="P3" s="21" t="s">
        <v>15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 customHeight="1">
      <c r="A4" s="166"/>
      <c r="B4" s="21"/>
      <c r="C4" s="39"/>
      <c r="D4" s="39"/>
      <c r="E4" s="42"/>
      <c r="F4" s="39" t="str">
        <f>Отчет!$C$4</f>
        <v>МБОУ СОШ № 153</v>
      </c>
      <c r="G4" s="176"/>
      <c r="H4" s="270">
        <f t="shared" si="0"/>
        <v>0</v>
      </c>
      <c r="I4" s="39"/>
      <c r="J4" s="39"/>
      <c r="K4" s="165"/>
      <c r="L4" s="39"/>
      <c r="M4" s="4" t="e">
        <f t="shared" si="1"/>
        <v>#DIV/0!</v>
      </c>
      <c r="N4" s="39"/>
      <c r="O4" s="39"/>
      <c r="P4" s="21" t="s">
        <v>15</v>
      </c>
      <c r="Q4" s="134">
        <f t="shared" si="2"/>
      </c>
      <c r="R4" s="271">
        <f>Отчет!$Q$4</f>
        <v>937015</v>
      </c>
    </row>
    <row r="5" spans="1:18" ht="12.75" customHeight="1">
      <c r="A5" s="166"/>
      <c r="B5" s="21"/>
      <c r="C5" s="39"/>
      <c r="D5" s="39"/>
      <c r="E5" s="42"/>
      <c r="F5" s="39" t="str">
        <f>Отчет!$C$4</f>
        <v>МБОУ СОШ № 153</v>
      </c>
      <c r="G5" s="176"/>
      <c r="H5" s="270">
        <f t="shared" si="0"/>
        <v>0</v>
      </c>
      <c r="I5" s="39"/>
      <c r="J5" s="39"/>
      <c r="K5" s="165"/>
      <c r="L5" s="39"/>
      <c r="M5" s="4" t="e">
        <f t="shared" si="1"/>
        <v>#DIV/0!</v>
      </c>
      <c r="N5" s="39"/>
      <c r="O5" s="39"/>
      <c r="P5" s="21" t="s">
        <v>15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 t="str">
        <f>Отчет!$C$4</f>
        <v>МБОУ СОШ № 153</v>
      </c>
      <c r="G6" s="176"/>
      <c r="H6" s="270">
        <f t="shared" si="0"/>
        <v>0</v>
      </c>
      <c r="I6" s="39"/>
      <c r="J6" s="39"/>
      <c r="K6" s="165"/>
      <c r="L6" s="39"/>
      <c r="M6" s="4" t="e">
        <f t="shared" si="1"/>
        <v>#DIV/0!</v>
      </c>
      <c r="N6" s="39"/>
      <c r="O6" s="39"/>
      <c r="P6" s="21" t="s">
        <v>15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 t="str">
        <f>Отчет!$C$4</f>
        <v>МБОУ СОШ № 153</v>
      </c>
      <c r="G7" s="176"/>
      <c r="H7" s="270">
        <f t="shared" si="0"/>
        <v>0</v>
      </c>
      <c r="I7" s="39"/>
      <c r="J7" s="39"/>
      <c r="K7" s="165"/>
      <c r="L7" s="39"/>
      <c r="M7" s="4" t="e">
        <f t="shared" si="1"/>
        <v>#DIV/0!</v>
      </c>
      <c r="N7" s="39"/>
      <c r="O7" s="39"/>
      <c r="P7" s="21" t="s">
        <v>15</v>
      </c>
      <c r="Q7" s="134">
        <f t="shared" si="2"/>
      </c>
      <c r="R7" s="271">
        <f>Отчет!$Q$4</f>
        <v>937015</v>
      </c>
    </row>
    <row r="8" spans="1:18" ht="12.75" customHeight="1">
      <c r="A8" s="166"/>
      <c r="B8" s="21"/>
      <c r="C8" s="39"/>
      <c r="D8" s="39"/>
      <c r="E8" s="42"/>
      <c r="F8" s="39" t="str">
        <f>Отчет!$C$4</f>
        <v>МБОУ СОШ № 153</v>
      </c>
      <c r="G8" s="176"/>
      <c r="H8" s="270">
        <f t="shared" si="0"/>
        <v>0</v>
      </c>
      <c r="I8" s="39"/>
      <c r="J8" s="39"/>
      <c r="K8" s="165"/>
      <c r="L8" s="39"/>
      <c r="M8" s="4" t="e">
        <f t="shared" si="1"/>
        <v>#DIV/0!</v>
      </c>
      <c r="N8" s="39"/>
      <c r="O8" s="39"/>
      <c r="P8" s="21" t="s">
        <v>15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 t="str">
        <f>Отчет!$C$4</f>
        <v>МБОУ СОШ № 153</v>
      </c>
      <c r="G9" s="176"/>
      <c r="H9" s="270">
        <f t="shared" si="0"/>
        <v>0</v>
      </c>
      <c r="I9" s="39"/>
      <c r="J9" s="39"/>
      <c r="K9" s="165"/>
      <c r="L9" s="39"/>
      <c r="M9" s="4" t="e">
        <f t="shared" si="1"/>
        <v>#DIV/0!</v>
      </c>
      <c r="N9" s="39"/>
      <c r="O9" s="39"/>
      <c r="P9" s="21" t="s">
        <v>15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 t="str">
        <f>Отчет!$C$4</f>
        <v>МБОУ СОШ № 153</v>
      </c>
      <c r="G10" s="176"/>
      <c r="H10" s="270">
        <f t="shared" si="0"/>
        <v>0</v>
      </c>
      <c r="I10" s="39"/>
      <c r="J10" s="39"/>
      <c r="K10" s="165"/>
      <c r="L10" s="39"/>
      <c r="M10" s="4" t="e">
        <f t="shared" si="1"/>
        <v>#DIV/0!</v>
      </c>
      <c r="N10" s="39"/>
      <c r="O10" s="39"/>
      <c r="P10" s="21" t="s">
        <v>15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 t="str">
        <f>Отчет!$C$4</f>
        <v>МБОУ СОШ № 153</v>
      </c>
      <c r="G11" s="176"/>
      <c r="H11" s="270">
        <f t="shared" si="0"/>
        <v>0</v>
      </c>
      <c r="I11" s="39"/>
      <c r="J11" s="39"/>
      <c r="K11" s="165"/>
      <c r="L11" s="39"/>
      <c r="M11" s="4" t="e">
        <f t="shared" si="1"/>
        <v>#DIV/0!</v>
      </c>
      <c r="N11" s="39"/>
      <c r="O11" s="39"/>
      <c r="P11" s="21" t="s">
        <v>15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 t="str">
        <f>Отчет!$C$4</f>
        <v>МБОУ СОШ № 153</v>
      </c>
      <c r="G12" s="176"/>
      <c r="H12" s="270">
        <f t="shared" si="0"/>
        <v>0</v>
      </c>
      <c r="I12" s="39"/>
      <c r="J12" s="39"/>
      <c r="K12" s="165"/>
      <c r="L12" s="39"/>
      <c r="M12" s="4" t="e">
        <f t="shared" si="1"/>
        <v>#DIV/0!</v>
      </c>
      <c r="N12" s="39"/>
      <c r="O12" s="39"/>
      <c r="P12" s="21" t="s">
        <v>15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 t="str">
        <f>Отчет!$C$4</f>
        <v>МБОУ СОШ № 153</v>
      </c>
      <c r="G13" s="176"/>
      <c r="H13" s="270">
        <f t="shared" si="0"/>
        <v>0</v>
      </c>
      <c r="I13" s="39"/>
      <c r="J13" s="39"/>
      <c r="K13" s="165"/>
      <c r="L13" s="39"/>
      <c r="M13" s="4" t="e">
        <f t="shared" si="1"/>
        <v>#DIV/0!</v>
      </c>
      <c r="N13" s="39"/>
      <c r="O13" s="39"/>
      <c r="P13" s="21" t="s">
        <v>15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 t="str">
        <f>Отчет!$C$4</f>
        <v>МБОУ СОШ № 153</v>
      </c>
      <c r="G14" s="176"/>
      <c r="H14" s="270">
        <f t="shared" si="0"/>
        <v>0</v>
      </c>
      <c r="I14" s="39"/>
      <c r="J14" s="39"/>
      <c r="K14" s="165"/>
      <c r="L14" s="39"/>
      <c r="M14" s="4" t="e">
        <f t="shared" si="1"/>
        <v>#DIV/0!</v>
      </c>
      <c r="N14" s="39"/>
      <c r="O14" s="39"/>
      <c r="P14" s="21" t="s">
        <v>15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 t="str">
        <f>Отчет!$C$4</f>
        <v>МБОУ СОШ № 153</v>
      </c>
      <c r="G15" s="176"/>
      <c r="H15" s="270">
        <f t="shared" si="0"/>
        <v>0</v>
      </c>
      <c r="I15" s="39"/>
      <c r="J15" s="39"/>
      <c r="K15" s="165"/>
      <c r="L15" s="39"/>
      <c r="M15" s="4" t="e">
        <f t="shared" si="1"/>
        <v>#DIV/0!</v>
      </c>
      <c r="N15" s="39"/>
      <c r="O15" s="39"/>
      <c r="P15" s="21" t="s">
        <v>15</v>
      </c>
      <c r="Q15" s="134">
        <f t="shared" si="2"/>
      </c>
      <c r="R15" s="271">
        <f>Отчет!$Q$4</f>
        <v>937015</v>
      </c>
    </row>
    <row r="16" spans="1:18" ht="12.75">
      <c r="A16" s="3"/>
      <c r="B16" s="3"/>
      <c r="C16" s="3"/>
      <c r="D16" s="3"/>
      <c r="E16" s="170"/>
      <c r="F16" s="39" t="str">
        <f>Отчет!$C$4</f>
        <v>МБОУ СОШ № 153</v>
      </c>
      <c r="G16" s="176"/>
      <c r="H16" s="270">
        <f t="shared" si="0"/>
        <v>0</v>
      </c>
      <c r="I16" s="5"/>
      <c r="J16" s="39"/>
      <c r="K16" s="5"/>
      <c r="L16" s="3"/>
      <c r="M16" s="4" t="e">
        <f t="shared" si="1"/>
        <v>#DIV/0!</v>
      </c>
      <c r="N16" s="37"/>
      <c r="O16" s="39"/>
      <c r="P16" s="21" t="s">
        <v>15</v>
      </c>
      <c r="Q16" s="134">
        <f t="shared" si="2"/>
      </c>
      <c r="R16" s="271">
        <f>Отчет!$Q$4</f>
        <v>937015</v>
      </c>
    </row>
    <row r="17" spans="1:18" ht="12.75">
      <c r="A17" s="3"/>
      <c r="B17" s="3"/>
      <c r="C17" s="3"/>
      <c r="D17" s="3"/>
      <c r="E17" s="170"/>
      <c r="F17" s="39" t="str">
        <f>Отчет!$C$4</f>
        <v>МБОУ СОШ № 153</v>
      </c>
      <c r="G17" s="176"/>
      <c r="H17" s="270">
        <f t="shared" si="0"/>
        <v>0</v>
      </c>
      <c r="I17" s="5"/>
      <c r="J17" s="39"/>
      <c r="K17" s="5"/>
      <c r="L17" s="3"/>
      <c r="M17" s="4" t="e">
        <f t="shared" si="1"/>
        <v>#DIV/0!</v>
      </c>
      <c r="N17" s="37"/>
      <c r="O17" s="39"/>
      <c r="P17" s="21" t="s">
        <v>15</v>
      </c>
      <c r="Q17" s="134">
        <f t="shared" si="2"/>
      </c>
      <c r="R17" s="271">
        <f>Отчет!$Q$4</f>
        <v>937015</v>
      </c>
    </row>
    <row r="18" spans="1:18" ht="12.75">
      <c r="A18" s="3"/>
      <c r="B18" s="3"/>
      <c r="C18" s="3"/>
      <c r="D18" s="3"/>
      <c r="E18" s="170"/>
      <c r="F18" s="39" t="str">
        <f>Отчет!$C$4</f>
        <v>МБОУ СОШ № 153</v>
      </c>
      <c r="G18" s="176"/>
      <c r="H18" s="270">
        <f t="shared" si="0"/>
        <v>0</v>
      </c>
      <c r="I18" s="5"/>
      <c r="J18" s="39"/>
      <c r="K18" s="5"/>
      <c r="L18" s="3"/>
      <c r="M18" s="4" t="e">
        <f t="shared" si="1"/>
        <v>#DIV/0!</v>
      </c>
      <c r="N18" s="37"/>
      <c r="O18" s="39"/>
      <c r="P18" s="21" t="s">
        <v>15</v>
      </c>
      <c r="Q18" s="134">
        <f t="shared" si="2"/>
      </c>
      <c r="R18" s="271">
        <f>Отчет!$Q$4</f>
        <v>937015</v>
      </c>
    </row>
    <row r="19" spans="1:18" ht="12.75">
      <c r="A19" s="106"/>
      <c r="B19" s="106"/>
      <c r="C19" s="106"/>
      <c r="D19" s="106"/>
      <c r="E19" s="171"/>
      <c r="F19" s="39" t="str">
        <f>Отчет!$C$4</f>
        <v>МБОУ СОШ № 153</v>
      </c>
      <c r="G19" s="176"/>
      <c r="H19" s="270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10"/>
      <c r="O19" s="39"/>
      <c r="P19" s="105" t="s">
        <v>15</v>
      </c>
      <c r="Q19" s="134">
        <f t="shared" si="2"/>
      </c>
      <c r="R19" s="271">
        <f>Отчет!$Q$4</f>
        <v>937015</v>
      </c>
    </row>
    <row r="20" spans="1:18" ht="12.75">
      <c r="A20" s="3"/>
      <c r="B20" s="3"/>
      <c r="C20" s="3"/>
      <c r="D20" s="3"/>
      <c r="E20" s="170"/>
      <c r="F20" s="39" t="str">
        <f>Отчет!$C$4</f>
        <v>МБОУ СОШ № 153</v>
      </c>
      <c r="G20" s="176"/>
      <c r="H20" s="270">
        <f t="shared" si="0"/>
        <v>0</v>
      </c>
      <c r="I20" s="46"/>
      <c r="J20" s="39"/>
      <c r="K20" s="163"/>
      <c r="L20" s="3"/>
      <c r="M20" s="4" t="e">
        <f t="shared" si="1"/>
        <v>#DIV/0!</v>
      </c>
      <c r="N20" s="3"/>
      <c r="O20" s="39"/>
      <c r="P20" s="21" t="s">
        <v>15</v>
      </c>
      <c r="Q20" s="134">
        <f t="shared" si="2"/>
      </c>
      <c r="R20" s="271">
        <f>Отчет!$Q$4</f>
        <v>937015</v>
      </c>
    </row>
    <row r="21" spans="1:16" ht="12.75">
      <c r="A21" s="69"/>
      <c r="B21" s="69"/>
      <c r="C21" s="69"/>
      <c r="D21" s="69"/>
      <c r="E21" s="70"/>
      <c r="F21" s="73"/>
      <c r="G21" s="69"/>
      <c r="H21" s="69"/>
      <c r="I21" s="49"/>
      <c r="J21" s="73"/>
      <c r="K21" s="49"/>
      <c r="L21" s="69"/>
      <c r="M21" s="71"/>
      <c r="N21" s="69"/>
      <c r="O21" s="164"/>
      <c r="P21" s="25"/>
    </row>
    <row r="22" spans="1:16" ht="12.75">
      <c r="A22" s="69"/>
      <c r="B22" s="69"/>
      <c r="C22" s="69"/>
      <c r="D22" s="69"/>
      <c r="E22" s="70"/>
      <c r="F22" s="73"/>
      <c r="G22" s="69"/>
      <c r="H22" s="69"/>
      <c r="I22" s="49"/>
      <c r="J22" s="73"/>
      <c r="K22" s="49"/>
      <c r="L22" s="69"/>
      <c r="M22" s="71"/>
      <c r="N22" s="69"/>
      <c r="O22" s="164"/>
      <c r="P22" s="25"/>
    </row>
    <row r="23" spans="1:16" ht="12.75">
      <c r="A23" s="69"/>
      <c r="B23" s="69"/>
      <c r="C23" s="69"/>
      <c r="D23" s="69"/>
      <c r="E23" s="70"/>
      <c r="F23" s="73"/>
      <c r="G23" s="69"/>
      <c r="H23" s="69"/>
      <c r="I23" s="49"/>
      <c r="J23" s="73"/>
      <c r="K23" s="49"/>
      <c r="L23" s="69"/>
      <c r="M23" s="71"/>
      <c r="N23" s="69"/>
      <c r="O23" s="164"/>
      <c r="P23" s="25"/>
    </row>
    <row r="24" spans="1:16" ht="12.75">
      <c r="A24" s="69"/>
      <c r="B24" s="69"/>
      <c r="C24" s="69"/>
      <c r="D24" s="69"/>
      <c r="E24" s="70"/>
      <c r="F24" s="73"/>
      <c r="G24" s="69"/>
      <c r="H24" s="69"/>
      <c r="I24" s="49"/>
      <c r="J24" s="73"/>
      <c r="K24" s="49"/>
      <c r="L24" s="69"/>
      <c r="M24" s="71"/>
      <c r="N24" s="69"/>
      <c r="O24" s="164"/>
      <c r="P24" s="25"/>
    </row>
    <row r="25" spans="1:16" ht="12.75">
      <c r="A25" s="69"/>
      <c r="B25" s="69"/>
      <c r="C25" s="69"/>
      <c r="D25" s="69"/>
      <c r="E25" s="70"/>
      <c r="F25" s="73"/>
      <c r="G25" s="69"/>
      <c r="H25" s="69"/>
      <c r="I25" s="49"/>
      <c r="J25" s="73"/>
      <c r="K25" s="49"/>
      <c r="L25" s="69"/>
      <c r="M25" s="71"/>
      <c r="N25" s="69"/>
      <c r="O25" s="164"/>
      <c r="P25" s="25"/>
    </row>
    <row r="26" spans="1:16" ht="12.75">
      <c r="A26" s="69"/>
      <c r="B26" s="69"/>
      <c r="C26" s="69"/>
      <c r="D26" s="69"/>
      <c r="E26" s="70"/>
      <c r="F26" s="73"/>
      <c r="G26" s="69"/>
      <c r="H26" s="69"/>
      <c r="I26" s="49"/>
      <c r="J26" s="73"/>
      <c r="K26" s="49"/>
      <c r="L26" s="69"/>
      <c r="M26" s="71"/>
      <c r="N26" s="69"/>
      <c r="O26" s="164"/>
      <c r="P26" s="25"/>
    </row>
    <row r="27" spans="1:16" ht="12.75">
      <c r="A27" s="69"/>
      <c r="B27" s="69"/>
      <c r="C27" s="69"/>
      <c r="D27" s="69"/>
      <c r="E27" s="70"/>
      <c r="F27" s="73"/>
      <c r="G27" s="69"/>
      <c r="H27" s="69"/>
      <c r="I27" s="49"/>
      <c r="J27" s="73"/>
      <c r="K27" s="49"/>
      <c r="L27" s="69"/>
      <c r="M27" s="71"/>
      <c r="N27" s="69"/>
      <c r="O27" s="164"/>
      <c r="P27" s="25"/>
    </row>
    <row r="28" spans="1:16" ht="12.75">
      <c r="A28" s="69"/>
      <c r="B28" s="69"/>
      <c r="C28" s="69"/>
      <c r="D28" s="69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69"/>
      <c r="B29" s="69"/>
      <c r="C29" s="69"/>
      <c r="D29" s="69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69"/>
      <c r="B30" s="69"/>
      <c r="C30" s="69"/>
      <c r="D30" s="69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69"/>
      <c r="B31" s="69"/>
      <c r="C31" s="69"/>
      <c r="D31" s="69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69"/>
      <c r="B32" s="69"/>
      <c r="C32" s="69"/>
      <c r="D32" s="69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69"/>
      <c r="B33" s="69"/>
      <c r="C33" s="69"/>
      <c r="D33" s="69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69"/>
      <c r="D34" s="69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69"/>
      <c r="D35" s="69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69"/>
      <c r="D36" s="69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69"/>
      <c r="D37" s="69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69"/>
      <c r="D38" s="69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69"/>
      <c r="D39" s="69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69"/>
      <c r="D40" s="69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69"/>
      <c r="D41" s="69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69"/>
      <c r="D42" s="69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69"/>
      <c r="D43" s="69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69"/>
      <c r="D44" s="69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69"/>
      <c r="D45" s="69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69"/>
      <c r="D46" s="69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69"/>
      <c r="D47" s="69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69"/>
      <c r="D48" s="69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69"/>
      <c r="D49" s="69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69"/>
      <c r="D50" s="69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1.1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8">
        <f>IF(COUNTIF(Q1:Q1000,"Введите дату рождения")&lt;&gt;0,"1","")</f>
      </c>
    </row>
    <row r="2" spans="1:18" ht="12.75" customHeight="1">
      <c r="A2" s="42">
        <v>1</v>
      </c>
      <c r="B2" s="39" t="s">
        <v>512</v>
      </c>
      <c r="C2" s="39" t="s">
        <v>644</v>
      </c>
      <c r="D2" s="39" t="s">
        <v>443</v>
      </c>
      <c r="E2" s="42" t="s">
        <v>98</v>
      </c>
      <c r="F2" s="39" t="s">
        <v>153</v>
      </c>
      <c r="G2" s="176">
        <v>10</v>
      </c>
      <c r="H2" s="270">
        <f>G2</f>
        <v>10</v>
      </c>
      <c r="I2" s="39"/>
      <c r="J2" s="39" t="s">
        <v>126</v>
      </c>
      <c r="K2" s="165">
        <v>35</v>
      </c>
      <c r="L2" s="39">
        <v>200</v>
      </c>
      <c r="M2" s="4">
        <f aca="true" t="shared" si="0" ref="M2:M20">K2/L2</f>
        <v>0.175</v>
      </c>
      <c r="N2" s="39" t="s">
        <v>58</v>
      </c>
      <c r="O2" s="39" t="s">
        <v>76</v>
      </c>
      <c r="P2" s="21" t="s">
        <v>57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>
        <v>2</v>
      </c>
      <c r="B3" s="39" t="s">
        <v>513</v>
      </c>
      <c r="C3" s="39" t="s">
        <v>645</v>
      </c>
      <c r="D3" s="39" t="s">
        <v>646</v>
      </c>
      <c r="E3" s="42" t="s">
        <v>98</v>
      </c>
      <c r="F3" s="39" t="s">
        <v>153</v>
      </c>
      <c r="G3" s="176">
        <v>10</v>
      </c>
      <c r="H3" s="270">
        <f aca="true" t="shared" si="1" ref="H3:H20">G3</f>
        <v>10</v>
      </c>
      <c r="I3" s="39"/>
      <c r="J3" s="39" t="s">
        <v>126</v>
      </c>
      <c r="K3" s="165">
        <v>32</v>
      </c>
      <c r="L3" s="39">
        <v>200</v>
      </c>
      <c r="M3" s="4">
        <f t="shared" si="0"/>
        <v>0.16</v>
      </c>
      <c r="N3" s="39" t="s">
        <v>58</v>
      </c>
      <c r="O3" s="39" t="s">
        <v>76</v>
      </c>
      <c r="P3" s="21" t="s">
        <v>57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 customHeight="1">
      <c r="A4" s="42">
        <v>3</v>
      </c>
      <c r="B4" s="21" t="s">
        <v>514</v>
      </c>
      <c r="C4" s="39" t="s">
        <v>452</v>
      </c>
      <c r="D4" s="39" t="s">
        <v>471</v>
      </c>
      <c r="E4" s="42" t="s">
        <v>98</v>
      </c>
      <c r="F4" s="39" t="s">
        <v>153</v>
      </c>
      <c r="G4" s="176">
        <v>10</v>
      </c>
      <c r="H4" s="270">
        <f t="shared" si="1"/>
        <v>10</v>
      </c>
      <c r="I4" s="39"/>
      <c r="J4" s="39" t="s">
        <v>126</v>
      </c>
      <c r="K4" s="165">
        <v>28</v>
      </c>
      <c r="L4" s="39">
        <v>200</v>
      </c>
      <c r="M4" s="4">
        <f t="shared" si="0"/>
        <v>0.14</v>
      </c>
      <c r="N4" s="39" t="s">
        <v>58</v>
      </c>
      <c r="O4" s="39" t="s">
        <v>76</v>
      </c>
      <c r="P4" s="21" t="s">
        <v>57</v>
      </c>
      <c r="Q4" s="134">
        <f t="shared" si="2"/>
      </c>
      <c r="R4" s="271">
        <f>Отчет!$Q$4</f>
        <v>937015</v>
      </c>
    </row>
    <row r="5" spans="1:18" ht="12.75" customHeight="1">
      <c r="A5" s="42">
        <v>4</v>
      </c>
      <c r="B5" s="21" t="s">
        <v>515</v>
      </c>
      <c r="C5" s="39" t="s">
        <v>517</v>
      </c>
      <c r="D5" s="39" t="s">
        <v>417</v>
      </c>
      <c r="E5" s="42" t="s">
        <v>98</v>
      </c>
      <c r="F5" s="39" t="s">
        <v>153</v>
      </c>
      <c r="G5" s="176">
        <v>10</v>
      </c>
      <c r="H5" s="270">
        <f t="shared" si="1"/>
        <v>10</v>
      </c>
      <c r="I5" s="39"/>
      <c r="J5" s="39" t="s">
        <v>126</v>
      </c>
      <c r="K5" s="165">
        <v>24</v>
      </c>
      <c r="L5" s="39">
        <v>200</v>
      </c>
      <c r="M5" s="4">
        <f t="shared" si="0"/>
        <v>0.12</v>
      </c>
      <c r="N5" s="39" t="s">
        <v>58</v>
      </c>
      <c r="O5" s="39" t="s">
        <v>76</v>
      </c>
      <c r="P5" s="21" t="s">
        <v>57</v>
      </c>
      <c r="Q5" s="134">
        <f t="shared" si="2"/>
      </c>
      <c r="R5" s="271">
        <f>Отчет!$Q$4</f>
        <v>937015</v>
      </c>
    </row>
    <row r="6" spans="1:18" ht="12.75">
      <c r="A6" s="42">
        <v>5</v>
      </c>
      <c r="B6" s="21" t="s">
        <v>593</v>
      </c>
      <c r="C6" s="39" t="s">
        <v>516</v>
      </c>
      <c r="D6" s="39" t="s">
        <v>471</v>
      </c>
      <c r="E6" s="42" t="s">
        <v>98</v>
      </c>
      <c r="F6" s="39" t="s">
        <v>153</v>
      </c>
      <c r="G6" s="176">
        <v>10</v>
      </c>
      <c r="H6" s="270">
        <f>G6</f>
        <v>10</v>
      </c>
      <c r="I6" s="39"/>
      <c r="J6" s="39" t="s">
        <v>126</v>
      </c>
      <c r="K6" s="165">
        <v>23</v>
      </c>
      <c r="L6" s="39">
        <v>200</v>
      </c>
      <c r="M6" s="4">
        <f t="shared" si="0"/>
        <v>0.115</v>
      </c>
      <c r="N6" s="39" t="s">
        <v>58</v>
      </c>
      <c r="O6" s="39" t="s">
        <v>76</v>
      </c>
      <c r="P6" s="21" t="s">
        <v>57</v>
      </c>
      <c r="Q6" s="134">
        <f>IF(G6=H6,"","Введите дату рождения")</f>
      </c>
      <c r="R6" s="271">
        <f>Отчет!$Q$4</f>
        <v>937015</v>
      </c>
    </row>
    <row r="7" spans="1:18" ht="12.75">
      <c r="A7" s="42">
        <v>6</v>
      </c>
      <c r="B7" s="21" t="s">
        <v>518</v>
      </c>
      <c r="C7" s="39" t="s">
        <v>495</v>
      </c>
      <c r="D7" s="39" t="s">
        <v>633</v>
      </c>
      <c r="E7" s="42" t="s">
        <v>98</v>
      </c>
      <c r="F7" s="39" t="s">
        <v>153</v>
      </c>
      <c r="G7" s="176">
        <v>10</v>
      </c>
      <c r="H7" s="270">
        <f t="shared" si="1"/>
        <v>10</v>
      </c>
      <c r="I7" s="39"/>
      <c r="J7" s="39" t="s">
        <v>126</v>
      </c>
      <c r="K7" s="165">
        <v>23</v>
      </c>
      <c r="L7" s="39">
        <v>200</v>
      </c>
      <c r="M7" s="4">
        <f t="shared" si="0"/>
        <v>0.115</v>
      </c>
      <c r="N7" s="39" t="s">
        <v>58</v>
      </c>
      <c r="O7" s="39" t="s">
        <v>76</v>
      </c>
      <c r="P7" s="21" t="s">
        <v>57</v>
      </c>
      <c r="Q7" s="134">
        <f t="shared" si="2"/>
      </c>
      <c r="R7" s="271">
        <f>Отчет!$Q$4</f>
        <v>937015</v>
      </c>
    </row>
    <row r="8" spans="1:18" ht="12.75" customHeight="1">
      <c r="A8" s="42">
        <v>7</v>
      </c>
      <c r="B8" s="21" t="s">
        <v>519</v>
      </c>
      <c r="C8" s="39" t="s">
        <v>520</v>
      </c>
      <c r="D8" s="39" t="s">
        <v>471</v>
      </c>
      <c r="E8" s="42" t="s">
        <v>98</v>
      </c>
      <c r="F8" s="39" t="s">
        <v>153</v>
      </c>
      <c r="G8" s="176">
        <v>10</v>
      </c>
      <c r="H8" s="270">
        <f t="shared" si="1"/>
        <v>10</v>
      </c>
      <c r="I8" s="39"/>
      <c r="J8" s="39" t="s">
        <v>126</v>
      </c>
      <c r="K8" s="165">
        <v>13</v>
      </c>
      <c r="L8" s="39">
        <v>200</v>
      </c>
      <c r="M8" s="4">
        <f t="shared" si="0"/>
        <v>0.065</v>
      </c>
      <c r="N8" s="39" t="s">
        <v>58</v>
      </c>
      <c r="O8" s="39" t="s">
        <v>76</v>
      </c>
      <c r="P8" s="21" t="s">
        <v>57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/>
      <c r="G9" s="176"/>
      <c r="H9" s="270">
        <f t="shared" si="1"/>
        <v>0</v>
      </c>
      <c r="I9" s="39"/>
      <c r="J9" s="39"/>
      <c r="K9" s="165"/>
      <c r="L9" s="39"/>
      <c r="M9" s="4" t="e">
        <f t="shared" si="0"/>
        <v>#DIV/0!</v>
      </c>
      <c r="N9" s="39"/>
      <c r="O9" s="39"/>
      <c r="P9" s="21" t="s">
        <v>57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/>
      <c r="G10" s="176"/>
      <c r="H10" s="270">
        <f t="shared" si="1"/>
        <v>0</v>
      </c>
      <c r="I10" s="39"/>
      <c r="J10" s="39"/>
      <c r="K10" s="165"/>
      <c r="L10" s="39"/>
      <c r="M10" s="4" t="e">
        <f t="shared" si="0"/>
        <v>#DIV/0!</v>
      </c>
      <c r="N10" s="39"/>
      <c r="O10" s="39"/>
      <c r="P10" s="21" t="s">
        <v>57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1"/>
        <v>0</v>
      </c>
      <c r="I11" s="39"/>
      <c r="J11" s="39"/>
      <c r="K11" s="165"/>
      <c r="L11" s="39"/>
      <c r="M11" s="4" t="e">
        <f t="shared" si="0"/>
        <v>#DIV/0!</v>
      </c>
      <c r="N11" s="39"/>
      <c r="O11" s="39"/>
      <c r="P11" s="21" t="s">
        <v>57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1"/>
        <v>0</v>
      </c>
      <c r="I12" s="39"/>
      <c r="J12" s="39"/>
      <c r="K12" s="165"/>
      <c r="L12" s="39"/>
      <c r="M12" s="4" t="e">
        <f t="shared" si="0"/>
        <v>#DIV/0!</v>
      </c>
      <c r="N12" s="39"/>
      <c r="O12" s="39"/>
      <c r="P12" s="21" t="s">
        <v>57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1"/>
        <v>0</v>
      </c>
      <c r="I13" s="39"/>
      <c r="J13" s="39"/>
      <c r="K13" s="165"/>
      <c r="L13" s="39"/>
      <c r="M13" s="4" t="e">
        <f t="shared" si="0"/>
        <v>#DIV/0!</v>
      </c>
      <c r="N13" s="39"/>
      <c r="O13" s="39"/>
      <c r="P13" s="21" t="s">
        <v>57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1"/>
        <v>0</v>
      </c>
      <c r="I14" s="39"/>
      <c r="J14" s="39"/>
      <c r="K14" s="165"/>
      <c r="L14" s="39"/>
      <c r="M14" s="4" t="e">
        <f t="shared" si="0"/>
        <v>#DIV/0!</v>
      </c>
      <c r="N14" s="39"/>
      <c r="O14" s="39"/>
      <c r="P14" s="21" t="s">
        <v>57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1"/>
        <v>0</v>
      </c>
      <c r="I15" s="39"/>
      <c r="J15" s="39"/>
      <c r="K15" s="165"/>
      <c r="L15" s="39"/>
      <c r="M15" s="4" t="e">
        <f t="shared" si="0"/>
        <v>#DIV/0!</v>
      </c>
      <c r="N15" s="39"/>
      <c r="O15" s="39"/>
      <c r="P15" s="21" t="s">
        <v>57</v>
      </c>
      <c r="Q15" s="134">
        <f t="shared" si="2"/>
      </c>
      <c r="R15" s="271">
        <f>Отчет!$Q$4</f>
        <v>937015</v>
      </c>
    </row>
    <row r="16" spans="1:18" ht="12.75">
      <c r="A16" s="3"/>
      <c r="B16" s="20"/>
      <c r="C16" s="20"/>
      <c r="D16" s="20"/>
      <c r="E16" s="170"/>
      <c r="F16" s="39"/>
      <c r="G16" s="176"/>
      <c r="H16" s="270">
        <f t="shared" si="1"/>
        <v>0</v>
      </c>
      <c r="I16" s="5"/>
      <c r="J16" s="39"/>
      <c r="K16" s="5"/>
      <c r="L16" s="20"/>
      <c r="M16" s="4" t="e">
        <f t="shared" si="0"/>
        <v>#DIV/0!</v>
      </c>
      <c r="N16" s="37"/>
      <c r="O16" s="39"/>
      <c r="P16" s="21" t="s">
        <v>57</v>
      </c>
      <c r="Q16" s="134">
        <f t="shared" si="2"/>
      </c>
      <c r="R16" s="271">
        <f>Отчет!$Q$4</f>
        <v>937015</v>
      </c>
    </row>
    <row r="17" spans="1:18" ht="12.75">
      <c r="A17" s="3"/>
      <c r="B17" s="20"/>
      <c r="C17" s="20"/>
      <c r="D17" s="20"/>
      <c r="E17" s="170"/>
      <c r="F17" s="39"/>
      <c r="G17" s="176"/>
      <c r="H17" s="270">
        <f t="shared" si="1"/>
        <v>0</v>
      </c>
      <c r="I17" s="5"/>
      <c r="J17" s="39"/>
      <c r="K17" s="5"/>
      <c r="L17" s="20"/>
      <c r="M17" s="4" t="e">
        <f t="shared" si="0"/>
        <v>#DIV/0!</v>
      </c>
      <c r="N17" s="37"/>
      <c r="O17" s="39"/>
      <c r="P17" s="21" t="s">
        <v>57</v>
      </c>
      <c r="Q17" s="134">
        <f t="shared" si="2"/>
      </c>
      <c r="R17" s="271">
        <f>Отчет!$Q$4</f>
        <v>937015</v>
      </c>
    </row>
    <row r="18" spans="1:18" ht="12.75">
      <c r="A18" s="3"/>
      <c r="B18" s="20"/>
      <c r="C18" s="20"/>
      <c r="D18" s="20"/>
      <c r="E18" s="170"/>
      <c r="F18" s="39"/>
      <c r="G18" s="176"/>
      <c r="H18" s="270">
        <f t="shared" si="1"/>
        <v>0</v>
      </c>
      <c r="I18" s="5"/>
      <c r="J18" s="39"/>
      <c r="K18" s="5"/>
      <c r="L18" s="20"/>
      <c r="M18" s="4" t="e">
        <f t="shared" si="0"/>
        <v>#DIV/0!</v>
      </c>
      <c r="N18" s="37"/>
      <c r="O18" s="39"/>
      <c r="P18" s="21" t="s">
        <v>57</v>
      </c>
      <c r="Q18" s="134">
        <f t="shared" si="2"/>
      </c>
      <c r="R18" s="271">
        <f>Отчет!$Q$4</f>
        <v>937015</v>
      </c>
    </row>
    <row r="19" spans="1:18" ht="12.75">
      <c r="A19" s="106"/>
      <c r="B19" s="116"/>
      <c r="C19" s="116"/>
      <c r="D19" s="116"/>
      <c r="E19" s="171"/>
      <c r="F19" s="39"/>
      <c r="G19" s="176"/>
      <c r="H19" s="270">
        <f t="shared" si="1"/>
        <v>0</v>
      </c>
      <c r="I19" s="108"/>
      <c r="J19" s="100"/>
      <c r="K19" s="108"/>
      <c r="L19" s="116"/>
      <c r="M19" s="4" t="e">
        <f t="shared" si="0"/>
        <v>#DIV/0!</v>
      </c>
      <c r="N19" s="110"/>
      <c r="O19" s="39"/>
      <c r="P19" s="105" t="s">
        <v>57</v>
      </c>
      <c r="Q19" s="134">
        <f t="shared" si="2"/>
      </c>
      <c r="R19" s="271">
        <f>Отчет!$Q$4</f>
        <v>937015</v>
      </c>
    </row>
    <row r="20" spans="1:18" ht="12.75">
      <c r="A20" s="3"/>
      <c r="B20" s="20"/>
      <c r="C20" s="20"/>
      <c r="D20" s="20"/>
      <c r="E20" s="170"/>
      <c r="F20" s="39"/>
      <c r="G20" s="176"/>
      <c r="H20" s="270">
        <f t="shared" si="1"/>
        <v>0</v>
      </c>
      <c r="I20" s="46"/>
      <c r="J20" s="39"/>
      <c r="K20" s="163"/>
      <c r="L20" s="20"/>
      <c r="M20" s="4" t="e">
        <f t="shared" si="0"/>
        <v>#DIV/0!</v>
      </c>
      <c r="N20" s="3"/>
      <c r="O20" s="39"/>
      <c r="P20" s="21" t="s">
        <v>57</v>
      </c>
      <c r="Q20" s="134">
        <f t="shared" si="2"/>
      </c>
      <c r="R20" s="271">
        <f>Отчет!$Q$4</f>
        <v>937015</v>
      </c>
    </row>
    <row r="21" spans="1:16" ht="12.75">
      <c r="A21" s="69"/>
      <c r="B21" s="124"/>
      <c r="C21" s="124"/>
      <c r="D21" s="124"/>
      <c r="E21" s="70"/>
      <c r="F21" s="73"/>
      <c r="G21" s="124"/>
      <c r="H21" s="124"/>
      <c r="I21" s="49"/>
      <c r="J21" s="73"/>
      <c r="K21" s="49"/>
      <c r="L21" s="124"/>
      <c r="M21" s="71"/>
      <c r="N21" s="69"/>
      <c r="O21" s="164"/>
      <c r="P21" s="25"/>
    </row>
    <row r="22" spans="1:16" ht="12.75">
      <c r="A22" s="69"/>
      <c r="B22" s="124"/>
      <c r="C22" s="124"/>
      <c r="D22" s="124"/>
      <c r="E22" s="70"/>
      <c r="F22" s="73"/>
      <c r="G22" s="124"/>
      <c r="H22" s="124"/>
      <c r="I22" s="49"/>
      <c r="J22" s="73"/>
      <c r="K22" s="49"/>
      <c r="L22" s="124"/>
      <c r="M22" s="71"/>
      <c r="N22" s="69"/>
      <c r="O22" s="164"/>
      <c r="P22" s="25"/>
    </row>
    <row r="23" spans="1:16" ht="12.75">
      <c r="A23" s="69"/>
      <c r="B23" s="124"/>
      <c r="C23" s="124"/>
      <c r="D23" s="124"/>
      <c r="E23" s="70"/>
      <c r="F23" s="73"/>
      <c r="G23" s="124"/>
      <c r="H23" s="124"/>
      <c r="I23" s="49"/>
      <c r="J23" s="73"/>
      <c r="K23" s="49"/>
      <c r="L23" s="124"/>
      <c r="M23" s="71"/>
      <c r="N23" s="69"/>
      <c r="O23" s="164"/>
      <c r="P23" s="25"/>
    </row>
    <row r="24" spans="1:16" ht="12.75">
      <c r="A24" s="69"/>
      <c r="B24" s="124"/>
      <c r="C24" s="124"/>
      <c r="D24" s="124"/>
      <c r="E24" s="70"/>
      <c r="F24" s="73"/>
      <c r="G24" s="124"/>
      <c r="H24" s="124"/>
      <c r="I24" s="49"/>
      <c r="J24" s="73"/>
      <c r="K24" s="49"/>
      <c r="L24" s="124"/>
      <c r="M24" s="71"/>
      <c r="N24" s="69"/>
      <c r="O24" s="164"/>
      <c r="P24" s="25"/>
    </row>
    <row r="25" spans="1:16" ht="12.75">
      <c r="A25" s="69"/>
      <c r="B25" s="124"/>
      <c r="C25" s="124"/>
      <c r="D25" s="124"/>
      <c r="E25" s="70"/>
      <c r="F25" s="73"/>
      <c r="G25" s="124"/>
      <c r="H25" s="124"/>
      <c r="I25" s="49"/>
      <c r="J25" s="73"/>
      <c r="K25" s="49"/>
      <c r="L25" s="124"/>
      <c r="M25" s="71"/>
      <c r="N25" s="69"/>
      <c r="O25" s="164"/>
      <c r="P25" s="25"/>
    </row>
    <row r="26" spans="1:16" ht="12.75">
      <c r="A26" s="69"/>
      <c r="B26" s="124"/>
      <c r="C26" s="124"/>
      <c r="D26" s="124"/>
      <c r="E26" s="70"/>
      <c r="F26" s="73"/>
      <c r="G26" s="124"/>
      <c r="H26" s="124"/>
      <c r="I26" s="49"/>
      <c r="J26" s="73"/>
      <c r="K26" s="49"/>
      <c r="L26" s="124"/>
      <c r="M26" s="71"/>
      <c r="N26" s="69"/>
      <c r="O26" s="164"/>
      <c r="P26" s="25"/>
    </row>
    <row r="27" spans="1:16" ht="12.75">
      <c r="A27" s="69"/>
      <c r="B27" s="124"/>
      <c r="C27" s="124"/>
      <c r="D27" s="124"/>
      <c r="E27" s="70"/>
      <c r="F27" s="73"/>
      <c r="G27" s="124"/>
      <c r="H27" s="124"/>
      <c r="I27" s="49"/>
      <c r="J27" s="73"/>
      <c r="K27" s="49"/>
      <c r="L27" s="124"/>
      <c r="M27" s="71"/>
      <c r="N27" s="69"/>
      <c r="O27" s="164"/>
      <c r="P27" s="25"/>
    </row>
    <row r="28" spans="1:16" ht="12.75">
      <c r="A28" s="69"/>
      <c r="B28" s="124"/>
      <c r="C28" s="124"/>
      <c r="D28" s="124"/>
      <c r="E28" s="70"/>
      <c r="F28" s="73"/>
      <c r="G28" s="124"/>
      <c r="H28" s="124"/>
      <c r="I28" s="49"/>
      <c r="J28" s="73"/>
      <c r="K28" s="49"/>
      <c r="L28" s="124"/>
      <c r="M28" s="71"/>
      <c r="N28" s="69"/>
      <c r="O28" s="164"/>
      <c r="P28" s="25"/>
    </row>
    <row r="29" spans="1:16" ht="12.75">
      <c r="A29" s="69"/>
      <c r="B29" s="124"/>
      <c r="C29" s="124"/>
      <c r="D29" s="124"/>
      <c r="E29" s="70"/>
      <c r="F29" s="73"/>
      <c r="G29" s="124"/>
      <c r="H29" s="124"/>
      <c r="I29" s="49"/>
      <c r="J29" s="73"/>
      <c r="K29" s="49"/>
      <c r="L29" s="124"/>
      <c r="M29" s="71"/>
      <c r="N29" s="69"/>
      <c r="O29" s="164"/>
      <c r="P29" s="25"/>
    </row>
    <row r="30" spans="1:16" ht="12.75">
      <c r="A30" s="69"/>
      <c r="B30" s="124"/>
      <c r="C30" s="124"/>
      <c r="D30" s="124"/>
      <c r="E30" s="70"/>
      <c r="F30" s="73"/>
      <c r="G30" s="124"/>
      <c r="H30" s="124"/>
      <c r="I30" s="49"/>
      <c r="J30" s="73"/>
      <c r="K30" s="49"/>
      <c r="L30" s="124"/>
      <c r="M30" s="71"/>
      <c r="N30" s="69"/>
      <c r="O30" s="164"/>
      <c r="P30" s="25"/>
    </row>
    <row r="31" spans="1:16" ht="12.75">
      <c r="A31" s="69"/>
      <c r="B31" s="124"/>
      <c r="C31" s="124"/>
      <c r="D31" s="124"/>
      <c r="E31" s="70"/>
      <c r="F31" s="73"/>
      <c r="G31" s="124"/>
      <c r="H31" s="124"/>
      <c r="I31" s="49"/>
      <c r="J31" s="73"/>
      <c r="K31" s="49"/>
      <c r="L31" s="124"/>
      <c r="M31" s="71"/>
      <c r="N31" s="69"/>
      <c r="O31" s="164"/>
      <c r="P31" s="25"/>
    </row>
    <row r="32" spans="1:16" ht="12.75">
      <c r="A32" s="69"/>
      <c r="B32" s="124"/>
      <c r="C32" s="124"/>
      <c r="D32" s="124"/>
      <c r="E32" s="70"/>
      <c r="F32" s="73"/>
      <c r="G32" s="124"/>
      <c r="H32" s="124"/>
      <c r="I32" s="49"/>
      <c r="J32" s="73"/>
      <c r="K32" s="49"/>
      <c r="L32" s="124"/>
      <c r="M32" s="71"/>
      <c r="N32" s="69"/>
      <c r="O32" s="164"/>
      <c r="P32" s="25"/>
    </row>
    <row r="33" spans="1:16" ht="12.75">
      <c r="A33" s="69"/>
      <c r="B33" s="124"/>
      <c r="C33" s="124"/>
      <c r="D33" s="124"/>
      <c r="E33" s="70"/>
      <c r="F33" s="73"/>
      <c r="G33" s="124"/>
      <c r="H33" s="124"/>
      <c r="I33" s="49"/>
      <c r="J33" s="73"/>
      <c r="K33" s="49"/>
      <c r="L33" s="124"/>
      <c r="M33" s="71"/>
      <c r="N33" s="69"/>
      <c r="O33" s="164"/>
      <c r="P33" s="25"/>
    </row>
    <row r="34" spans="3:16" ht="12.75">
      <c r="C34" s="124"/>
      <c r="D34" s="124"/>
      <c r="E34" s="70"/>
      <c r="F34" s="73"/>
      <c r="G34" s="124"/>
      <c r="H34" s="124"/>
      <c r="I34" s="49"/>
      <c r="J34" s="73"/>
      <c r="K34" s="49"/>
      <c r="L34" s="124"/>
      <c r="M34" s="71"/>
      <c r="N34" s="69"/>
      <c r="O34" s="164"/>
      <c r="P34" s="25"/>
    </row>
    <row r="35" spans="3:16" ht="12.75">
      <c r="C35" s="124"/>
      <c r="D35" s="124"/>
      <c r="E35" s="70"/>
      <c r="F35" s="73"/>
      <c r="G35" s="124"/>
      <c r="H35" s="124"/>
      <c r="I35" s="49"/>
      <c r="J35" s="73"/>
      <c r="K35" s="49"/>
      <c r="L35" s="124"/>
      <c r="M35" s="71"/>
      <c r="N35" s="69"/>
      <c r="O35" s="164"/>
      <c r="P35" s="25"/>
    </row>
    <row r="36" spans="3:16" ht="12.75">
      <c r="C36" s="124"/>
      <c r="D36" s="124"/>
      <c r="E36" s="70"/>
      <c r="F36" s="73"/>
      <c r="G36" s="124"/>
      <c r="H36" s="124"/>
      <c r="I36" s="49"/>
      <c r="J36" s="73"/>
      <c r="K36" s="49"/>
      <c r="L36" s="124"/>
      <c r="M36" s="71"/>
      <c r="N36" s="69"/>
      <c r="O36" s="164"/>
      <c r="P36" s="25"/>
    </row>
    <row r="37" spans="3:16" ht="12.75">
      <c r="C37" s="124"/>
      <c r="D37" s="124"/>
      <c r="E37" s="70"/>
      <c r="F37" s="73"/>
      <c r="G37" s="124"/>
      <c r="H37" s="124"/>
      <c r="I37" s="49"/>
      <c r="J37" s="73"/>
      <c r="K37" s="49"/>
      <c r="L37" s="124"/>
      <c r="M37" s="71"/>
      <c r="N37" s="69"/>
      <c r="O37" s="164"/>
      <c r="P37" s="25"/>
    </row>
    <row r="38" spans="3:16" ht="12.75">
      <c r="C38" s="124"/>
      <c r="D38" s="124"/>
      <c r="E38" s="70"/>
      <c r="F38" s="73"/>
      <c r="G38" s="124"/>
      <c r="H38" s="124"/>
      <c r="I38" s="49"/>
      <c r="J38" s="73"/>
      <c r="K38" s="49"/>
      <c r="L38" s="124"/>
      <c r="M38" s="71"/>
      <c r="N38" s="69"/>
      <c r="O38" s="164"/>
      <c r="P38" s="25"/>
    </row>
    <row r="39" spans="3:16" ht="12.75">
      <c r="C39" s="124"/>
      <c r="D39" s="124"/>
      <c r="E39" s="70"/>
      <c r="F39" s="73"/>
      <c r="G39" s="124"/>
      <c r="H39" s="124"/>
      <c r="I39" s="49"/>
      <c r="J39" s="73"/>
      <c r="K39" s="49"/>
      <c r="L39" s="124"/>
      <c r="M39" s="71"/>
      <c r="N39" s="69"/>
      <c r="O39" s="164"/>
      <c r="P39" s="25"/>
    </row>
    <row r="40" spans="3:16" ht="12.75">
      <c r="C40" s="124"/>
      <c r="D40" s="124"/>
      <c r="E40" s="70"/>
      <c r="F40" s="73"/>
      <c r="G40" s="124"/>
      <c r="H40" s="124"/>
      <c r="I40" s="49"/>
      <c r="J40" s="73"/>
      <c r="K40" s="49"/>
      <c r="L40" s="124"/>
      <c r="M40" s="71"/>
      <c r="N40" s="69"/>
      <c r="O40" s="164"/>
      <c r="P40" s="25"/>
    </row>
    <row r="41" spans="3:16" ht="12.75">
      <c r="C41" s="124"/>
      <c r="D41" s="124"/>
      <c r="E41" s="70"/>
      <c r="F41" s="73"/>
      <c r="G41" s="124"/>
      <c r="H41" s="124"/>
      <c r="I41" s="49"/>
      <c r="J41" s="73"/>
      <c r="K41" s="49"/>
      <c r="L41" s="124"/>
      <c r="M41" s="71"/>
      <c r="N41" s="69"/>
      <c r="O41" s="164"/>
      <c r="P41" s="25"/>
    </row>
    <row r="42" spans="3:16" ht="12.75">
      <c r="C42" s="124"/>
      <c r="D42" s="124"/>
      <c r="E42" s="70"/>
      <c r="F42" s="73"/>
      <c r="G42" s="124"/>
      <c r="H42" s="124"/>
      <c r="I42" s="49"/>
      <c r="J42" s="73"/>
      <c r="K42" s="49"/>
      <c r="L42" s="124"/>
      <c r="M42" s="71"/>
      <c r="N42" s="69"/>
      <c r="O42" s="164"/>
      <c r="P42" s="25"/>
    </row>
    <row r="43" spans="3:16" ht="12.75">
      <c r="C43" s="124"/>
      <c r="D43" s="124"/>
      <c r="E43" s="70"/>
      <c r="F43" s="73"/>
      <c r="G43" s="124"/>
      <c r="H43" s="124"/>
      <c r="I43" s="49"/>
      <c r="J43" s="73"/>
      <c r="K43" s="49"/>
      <c r="L43" s="124"/>
      <c r="M43" s="71"/>
      <c r="N43" s="69"/>
      <c r="O43" s="164"/>
      <c r="P43" s="25"/>
    </row>
    <row r="44" spans="3:16" ht="12.75">
      <c r="C44" s="124"/>
      <c r="D44" s="124"/>
      <c r="E44" s="70"/>
      <c r="F44" s="73"/>
      <c r="G44" s="124"/>
      <c r="H44" s="124"/>
      <c r="I44" s="49"/>
      <c r="J44" s="73"/>
      <c r="K44" s="49"/>
      <c r="L44" s="124"/>
      <c r="M44" s="71"/>
      <c r="N44" s="69"/>
      <c r="O44" s="164"/>
      <c r="P44" s="25"/>
    </row>
    <row r="45" spans="3:16" ht="12.75">
      <c r="C45" s="124"/>
      <c r="D45" s="124"/>
      <c r="E45" s="70"/>
      <c r="F45" s="73"/>
      <c r="G45" s="124"/>
      <c r="H45" s="124"/>
      <c r="I45" s="49"/>
      <c r="J45" s="73"/>
      <c r="K45" s="49"/>
      <c r="L45" s="124"/>
      <c r="M45" s="71"/>
      <c r="N45" s="69"/>
      <c r="O45" s="164"/>
      <c r="P45" s="25"/>
    </row>
    <row r="46" spans="3:16" ht="12.75">
      <c r="C46" s="124"/>
      <c r="D46" s="124"/>
      <c r="E46" s="70"/>
      <c r="F46" s="73"/>
      <c r="G46" s="124"/>
      <c r="H46" s="124"/>
      <c r="I46" s="49"/>
      <c r="J46" s="73"/>
      <c r="K46" s="49"/>
      <c r="L46" s="124"/>
      <c r="M46" s="71"/>
      <c r="N46" s="69"/>
      <c r="O46" s="164"/>
      <c r="P46" s="25"/>
    </row>
    <row r="47" spans="3:16" ht="12.75">
      <c r="C47" s="124"/>
      <c r="D47" s="124"/>
      <c r="E47" s="70"/>
      <c r="F47" s="73"/>
      <c r="G47" s="124"/>
      <c r="H47" s="124"/>
      <c r="I47" s="49"/>
      <c r="J47" s="73"/>
      <c r="K47" s="49"/>
      <c r="L47" s="124"/>
      <c r="M47" s="71"/>
      <c r="N47" s="69"/>
      <c r="O47" s="164"/>
      <c r="P47" s="25"/>
    </row>
    <row r="48" spans="3:16" ht="12.75">
      <c r="C48" s="124"/>
      <c r="D48" s="124"/>
      <c r="E48" s="70"/>
      <c r="F48" s="73"/>
      <c r="G48" s="124"/>
      <c r="H48" s="124"/>
      <c r="I48" s="49"/>
      <c r="J48" s="73"/>
      <c r="K48" s="49"/>
      <c r="L48" s="124"/>
      <c r="M48" s="71"/>
      <c r="N48" s="69"/>
      <c r="O48" s="164"/>
      <c r="P48" s="25"/>
    </row>
    <row r="49" spans="3:16" ht="12.75">
      <c r="C49" s="124"/>
      <c r="D49" s="124"/>
      <c r="E49" s="70"/>
      <c r="F49" s="73"/>
      <c r="G49" s="124"/>
      <c r="H49" s="124"/>
      <c r="I49" s="49"/>
      <c r="J49" s="73"/>
      <c r="K49" s="49"/>
      <c r="L49" s="124"/>
      <c r="M49" s="71"/>
      <c r="N49" s="69"/>
      <c r="O49" s="164"/>
      <c r="P49" s="25"/>
    </row>
    <row r="50" spans="3:16" ht="12.75">
      <c r="C50" s="124"/>
      <c r="D50" s="124"/>
      <c r="E50" s="70"/>
      <c r="F50" s="73"/>
      <c r="G50" s="124"/>
      <c r="H50" s="124"/>
      <c r="I50" s="49"/>
      <c r="J50" s="73"/>
      <c r="K50" s="49"/>
      <c r="L50" s="124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24">
      <selection activeCell="C49" sqref="C49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5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7">
        <f>IF(COUNTIF(Q1:Q1000,"Введите дату рождения")&lt;&gt;0,"1","")</f>
      </c>
    </row>
    <row r="2" spans="1:18" ht="12.75">
      <c r="A2" s="308">
        <v>1</v>
      </c>
      <c r="B2" s="39" t="s">
        <v>603</v>
      </c>
      <c r="C2" s="39" t="s">
        <v>568</v>
      </c>
      <c r="D2" s="39" t="s">
        <v>573</v>
      </c>
      <c r="E2" s="42" t="s">
        <v>392</v>
      </c>
      <c r="F2" s="39" t="s">
        <v>153</v>
      </c>
      <c r="G2" s="176">
        <v>7</v>
      </c>
      <c r="H2" s="270">
        <f aca="true" t="shared" si="0" ref="H2:H47">G2</f>
        <v>7</v>
      </c>
      <c r="I2" s="39"/>
      <c r="J2" s="39" t="s">
        <v>126</v>
      </c>
      <c r="K2" s="165">
        <v>60</v>
      </c>
      <c r="L2" s="39">
        <v>100</v>
      </c>
      <c r="M2" s="40">
        <f aca="true" t="shared" si="1" ref="M2:M47">K2/L2</f>
        <v>0.6</v>
      </c>
      <c r="N2" s="39" t="s">
        <v>49</v>
      </c>
      <c r="O2" s="39" t="s">
        <v>76</v>
      </c>
      <c r="P2" s="39" t="s">
        <v>45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308">
        <v>2</v>
      </c>
      <c r="B3" s="39" t="s">
        <v>566</v>
      </c>
      <c r="C3" s="39" t="s">
        <v>489</v>
      </c>
      <c r="D3" s="39" t="s">
        <v>448</v>
      </c>
      <c r="E3" s="42" t="s">
        <v>402</v>
      </c>
      <c r="F3" s="39" t="s">
        <v>153</v>
      </c>
      <c r="G3" s="176">
        <v>7</v>
      </c>
      <c r="H3" s="270">
        <f t="shared" si="0"/>
        <v>7</v>
      </c>
      <c r="I3" s="39"/>
      <c r="J3" s="39" t="s">
        <v>126</v>
      </c>
      <c r="K3" s="165">
        <v>60</v>
      </c>
      <c r="L3" s="39">
        <v>100</v>
      </c>
      <c r="M3" s="40">
        <f t="shared" si="1"/>
        <v>0.6</v>
      </c>
      <c r="N3" s="39" t="s">
        <v>50</v>
      </c>
      <c r="O3" s="39" t="s">
        <v>76</v>
      </c>
      <c r="P3" s="39" t="s">
        <v>45</v>
      </c>
      <c r="Q3" s="134">
        <f aca="true" t="shared" si="2" ref="Q3:Q47">IF(G3=H3,"","Введите дату рождения")</f>
      </c>
      <c r="R3" s="271">
        <f>Отчет!$Q$4</f>
        <v>937015</v>
      </c>
    </row>
    <row r="4" spans="1:18" ht="12.75">
      <c r="A4" s="308">
        <v>3</v>
      </c>
      <c r="B4" s="21" t="s">
        <v>492</v>
      </c>
      <c r="C4" s="39" t="s">
        <v>377</v>
      </c>
      <c r="D4" s="39" t="s">
        <v>480</v>
      </c>
      <c r="E4" s="42" t="s">
        <v>392</v>
      </c>
      <c r="F4" s="39" t="s">
        <v>153</v>
      </c>
      <c r="G4" s="176">
        <v>7</v>
      </c>
      <c r="H4" s="270">
        <f t="shared" si="0"/>
        <v>7</v>
      </c>
      <c r="I4" s="39"/>
      <c r="J4" s="39" t="s">
        <v>126</v>
      </c>
      <c r="K4" s="165">
        <v>60</v>
      </c>
      <c r="L4" s="39">
        <v>100</v>
      </c>
      <c r="M4" s="40">
        <f t="shared" si="1"/>
        <v>0.6</v>
      </c>
      <c r="N4" s="39" t="s">
        <v>50</v>
      </c>
      <c r="O4" s="39" t="s">
        <v>76</v>
      </c>
      <c r="P4" s="39" t="s">
        <v>45</v>
      </c>
      <c r="Q4" s="134">
        <f t="shared" si="2"/>
      </c>
      <c r="R4" s="271">
        <f>Отчет!$Q$4</f>
        <v>937015</v>
      </c>
    </row>
    <row r="5" spans="1:18" ht="12.75">
      <c r="A5" s="308">
        <v>4</v>
      </c>
      <c r="B5" s="21" t="s">
        <v>604</v>
      </c>
      <c r="C5" s="39" t="s">
        <v>377</v>
      </c>
      <c r="D5" s="39" t="s">
        <v>374</v>
      </c>
      <c r="E5" s="42" t="s">
        <v>392</v>
      </c>
      <c r="F5" s="39" t="s">
        <v>153</v>
      </c>
      <c r="G5" s="176">
        <v>7</v>
      </c>
      <c r="H5" s="270">
        <f t="shared" si="0"/>
        <v>7</v>
      </c>
      <c r="I5" s="39"/>
      <c r="J5" s="39" t="s">
        <v>126</v>
      </c>
      <c r="K5" s="165">
        <v>54</v>
      </c>
      <c r="L5" s="39">
        <v>100</v>
      </c>
      <c r="M5" s="40">
        <f t="shared" si="1"/>
        <v>0.54</v>
      </c>
      <c r="N5" s="39" t="s">
        <v>58</v>
      </c>
      <c r="O5" s="39" t="s">
        <v>76</v>
      </c>
      <c r="P5" s="39" t="s">
        <v>45</v>
      </c>
      <c r="Q5" s="134">
        <f t="shared" si="2"/>
      </c>
      <c r="R5" s="271">
        <f>Отчет!$Q$4</f>
        <v>937015</v>
      </c>
    </row>
    <row r="6" spans="1:18" ht="12.75">
      <c r="A6" s="308">
        <v>5</v>
      </c>
      <c r="B6" s="21" t="s">
        <v>605</v>
      </c>
      <c r="C6" s="39" t="s">
        <v>397</v>
      </c>
      <c r="D6" s="39" t="s">
        <v>606</v>
      </c>
      <c r="E6" s="42" t="s">
        <v>392</v>
      </c>
      <c r="F6" s="39" t="s">
        <v>153</v>
      </c>
      <c r="G6" s="176">
        <v>7</v>
      </c>
      <c r="H6" s="270">
        <f t="shared" si="0"/>
        <v>7</v>
      </c>
      <c r="I6" s="39"/>
      <c r="J6" s="39" t="s">
        <v>126</v>
      </c>
      <c r="K6" s="165">
        <v>53</v>
      </c>
      <c r="L6" s="39">
        <v>100</v>
      </c>
      <c r="M6" s="40">
        <f t="shared" si="1"/>
        <v>0.53</v>
      </c>
      <c r="N6" s="39" t="s">
        <v>58</v>
      </c>
      <c r="O6" s="39" t="s">
        <v>76</v>
      </c>
      <c r="P6" s="39" t="s">
        <v>45</v>
      </c>
      <c r="Q6" s="134">
        <f t="shared" si="2"/>
      </c>
      <c r="R6" s="271">
        <f>Отчет!$Q$4</f>
        <v>937015</v>
      </c>
    </row>
    <row r="7" spans="1:18" ht="12.75">
      <c r="A7" s="308">
        <v>6</v>
      </c>
      <c r="B7" s="21" t="s">
        <v>607</v>
      </c>
      <c r="C7" s="39" t="s">
        <v>475</v>
      </c>
      <c r="D7" s="39" t="s">
        <v>480</v>
      </c>
      <c r="E7" s="42" t="s">
        <v>392</v>
      </c>
      <c r="F7" s="39" t="s">
        <v>153</v>
      </c>
      <c r="G7" s="176">
        <v>7</v>
      </c>
      <c r="H7" s="270">
        <f t="shared" si="0"/>
        <v>7</v>
      </c>
      <c r="I7" s="39"/>
      <c r="J7" s="39" t="s">
        <v>126</v>
      </c>
      <c r="K7" s="165">
        <v>49</v>
      </c>
      <c r="L7" s="39">
        <v>100</v>
      </c>
      <c r="M7" s="40">
        <f t="shared" si="1"/>
        <v>0.49</v>
      </c>
      <c r="N7" s="39" t="s">
        <v>58</v>
      </c>
      <c r="O7" s="39" t="s">
        <v>76</v>
      </c>
      <c r="P7" s="39" t="s">
        <v>45</v>
      </c>
      <c r="Q7" s="134">
        <f t="shared" si="2"/>
      </c>
      <c r="R7" s="271">
        <f>Отчет!$Q$4</f>
        <v>937015</v>
      </c>
    </row>
    <row r="8" spans="1:18" ht="12.75">
      <c r="A8" s="308">
        <v>7</v>
      </c>
      <c r="B8" s="21" t="s">
        <v>608</v>
      </c>
      <c r="C8" s="39" t="s">
        <v>370</v>
      </c>
      <c r="D8" s="39" t="s">
        <v>374</v>
      </c>
      <c r="E8" s="42" t="s">
        <v>392</v>
      </c>
      <c r="F8" s="39" t="s">
        <v>153</v>
      </c>
      <c r="G8" s="176">
        <v>7</v>
      </c>
      <c r="H8" s="270">
        <f t="shared" si="0"/>
        <v>7</v>
      </c>
      <c r="I8" s="39"/>
      <c r="J8" s="39" t="s">
        <v>126</v>
      </c>
      <c r="K8" s="165">
        <v>49</v>
      </c>
      <c r="L8" s="39">
        <v>100</v>
      </c>
      <c r="M8" s="40">
        <f t="shared" si="1"/>
        <v>0.49</v>
      </c>
      <c r="N8" s="39" t="s">
        <v>58</v>
      </c>
      <c r="O8" s="39" t="s">
        <v>76</v>
      </c>
      <c r="P8" s="39" t="s">
        <v>45</v>
      </c>
      <c r="Q8" s="134">
        <f t="shared" si="2"/>
      </c>
      <c r="R8" s="271">
        <f>Отчет!$Q$4</f>
        <v>937015</v>
      </c>
    </row>
    <row r="9" spans="1:18" ht="12.75">
      <c r="A9" s="308">
        <v>8</v>
      </c>
      <c r="B9" s="21" t="s">
        <v>486</v>
      </c>
      <c r="C9" s="39" t="s">
        <v>487</v>
      </c>
      <c r="D9" s="39" t="s">
        <v>470</v>
      </c>
      <c r="E9" s="42" t="s">
        <v>392</v>
      </c>
      <c r="F9" s="39" t="s">
        <v>153</v>
      </c>
      <c r="G9" s="176">
        <v>7</v>
      </c>
      <c r="H9" s="270">
        <f t="shared" si="0"/>
        <v>7</v>
      </c>
      <c r="I9" s="39"/>
      <c r="J9" s="39" t="s">
        <v>126</v>
      </c>
      <c r="K9" s="165">
        <v>48</v>
      </c>
      <c r="L9" s="39">
        <v>100</v>
      </c>
      <c r="M9" s="40">
        <f t="shared" si="1"/>
        <v>0.48</v>
      </c>
      <c r="N9" s="39" t="s">
        <v>58</v>
      </c>
      <c r="O9" s="39" t="s">
        <v>76</v>
      </c>
      <c r="P9" s="39" t="s">
        <v>45</v>
      </c>
      <c r="Q9" s="134">
        <f t="shared" si="2"/>
      </c>
      <c r="R9" s="271">
        <f>Отчет!$Q$4</f>
        <v>937015</v>
      </c>
    </row>
    <row r="10" spans="1:18" ht="12.75">
      <c r="A10" s="308">
        <v>9</v>
      </c>
      <c r="B10" s="39" t="s">
        <v>493</v>
      </c>
      <c r="C10" s="39" t="s">
        <v>436</v>
      </c>
      <c r="D10" s="39" t="s">
        <v>407</v>
      </c>
      <c r="E10" s="42" t="s">
        <v>402</v>
      </c>
      <c r="F10" s="39" t="s">
        <v>153</v>
      </c>
      <c r="G10" s="176">
        <v>7</v>
      </c>
      <c r="H10" s="270">
        <f t="shared" si="0"/>
        <v>7</v>
      </c>
      <c r="I10" s="39"/>
      <c r="J10" s="39" t="s">
        <v>126</v>
      </c>
      <c r="K10" s="165">
        <v>44</v>
      </c>
      <c r="L10" s="39">
        <v>100</v>
      </c>
      <c r="M10" s="40">
        <f t="shared" si="1"/>
        <v>0.44</v>
      </c>
      <c r="N10" s="39" t="s">
        <v>58</v>
      </c>
      <c r="O10" s="39" t="s">
        <v>76</v>
      </c>
      <c r="P10" s="39" t="s">
        <v>45</v>
      </c>
      <c r="Q10" s="134">
        <f t="shared" si="2"/>
      </c>
      <c r="R10" s="271">
        <f>Отчет!$Q$4</f>
        <v>937015</v>
      </c>
    </row>
    <row r="11" spans="1:18" ht="12.75">
      <c r="A11" s="308">
        <v>10</v>
      </c>
      <c r="B11" s="39" t="s">
        <v>609</v>
      </c>
      <c r="C11" s="39" t="s">
        <v>520</v>
      </c>
      <c r="D11" s="39" t="s">
        <v>448</v>
      </c>
      <c r="E11" s="42" t="s">
        <v>402</v>
      </c>
      <c r="F11" s="39" t="s">
        <v>153</v>
      </c>
      <c r="G11" s="176">
        <v>7</v>
      </c>
      <c r="H11" s="270">
        <f t="shared" si="0"/>
        <v>7</v>
      </c>
      <c r="I11" s="39"/>
      <c r="J11" s="39" t="s">
        <v>126</v>
      </c>
      <c r="K11" s="165">
        <v>42</v>
      </c>
      <c r="L11" s="39">
        <v>100</v>
      </c>
      <c r="M11" s="40">
        <f t="shared" si="1"/>
        <v>0.42</v>
      </c>
      <c r="N11" s="39" t="s">
        <v>58</v>
      </c>
      <c r="O11" s="39" t="s">
        <v>76</v>
      </c>
      <c r="P11" s="39" t="s">
        <v>45</v>
      </c>
      <c r="Q11" s="134">
        <f t="shared" si="2"/>
      </c>
      <c r="R11" s="271">
        <f>Отчет!$Q$4</f>
        <v>937015</v>
      </c>
    </row>
    <row r="12" spans="1:18" ht="12.75">
      <c r="A12" s="308">
        <v>11</v>
      </c>
      <c r="B12" s="21" t="s">
        <v>610</v>
      </c>
      <c r="C12" s="39" t="s">
        <v>611</v>
      </c>
      <c r="D12" s="39" t="s">
        <v>378</v>
      </c>
      <c r="E12" s="42" t="s">
        <v>392</v>
      </c>
      <c r="F12" s="39" t="s">
        <v>153</v>
      </c>
      <c r="G12" s="176">
        <v>7</v>
      </c>
      <c r="H12" s="270">
        <f t="shared" si="0"/>
        <v>7</v>
      </c>
      <c r="I12" s="39"/>
      <c r="J12" s="39" t="s">
        <v>126</v>
      </c>
      <c r="K12" s="165">
        <v>40</v>
      </c>
      <c r="L12" s="39">
        <v>100</v>
      </c>
      <c r="M12" s="40">
        <f t="shared" si="1"/>
        <v>0.4</v>
      </c>
      <c r="N12" s="39" t="s">
        <v>58</v>
      </c>
      <c r="O12" s="39" t="s">
        <v>76</v>
      </c>
      <c r="P12" s="39" t="s">
        <v>45</v>
      </c>
      <c r="Q12" s="134">
        <f t="shared" si="2"/>
      </c>
      <c r="R12" s="271">
        <f>Отчет!$Q$4</f>
        <v>937015</v>
      </c>
    </row>
    <row r="13" spans="1:18" ht="12.75">
      <c r="A13" s="308">
        <v>12</v>
      </c>
      <c r="B13" s="21" t="s">
        <v>580</v>
      </c>
      <c r="C13" s="39" t="s">
        <v>612</v>
      </c>
      <c r="D13" s="39" t="s">
        <v>582</v>
      </c>
      <c r="E13" s="42" t="s">
        <v>392</v>
      </c>
      <c r="F13" s="39" t="s">
        <v>153</v>
      </c>
      <c r="G13" s="176">
        <v>7</v>
      </c>
      <c r="H13" s="270">
        <f t="shared" si="0"/>
        <v>7</v>
      </c>
      <c r="I13" s="39"/>
      <c r="J13" s="39" t="s">
        <v>126</v>
      </c>
      <c r="K13" s="165">
        <v>39</v>
      </c>
      <c r="L13" s="39">
        <v>100</v>
      </c>
      <c r="M13" s="40">
        <f t="shared" si="1"/>
        <v>0.39</v>
      </c>
      <c r="N13" s="39" t="s">
        <v>58</v>
      </c>
      <c r="O13" s="39" t="s">
        <v>76</v>
      </c>
      <c r="P13" s="39" t="s">
        <v>45</v>
      </c>
      <c r="Q13" s="134">
        <f t="shared" si="2"/>
      </c>
      <c r="R13" s="271">
        <f>Отчет!$Q$4</f>
        <v>937015</v>
      </c>
    </row>
    <row r="14" spans="1:18" ht="12.75">
      <c r="A14" s="308">
        <v>13</v>
      </c>
      <c r="B14" s="21" t="s">
        <v>494</v>
      </c>
      <c r="C14" s="39" t="s">
        <v>495</v>
      </c>
      <c r="D14" s="39" t="s">
        <v>437</v>
      </c>
      <c r="E14" s="42" t="s">
        <v>402</v>
      </c>
      <c r="F14" s="39" t="s">
        <v>153</v>
      </c>
      <c r="G14" s="176">
        <v>7</v>
      </c>
      <c r="H14" s="270">
        <f t="shared" si="0"/>
        <v>7</v>
      </c>
      <c r="I14" s="39"/>
      <c r="J14" s="39" t="s">
        <v>126</v>
      </c>
      <c r="K14" s="165">
        <v>38</v>
      </c>
      <c r="L14" s="39">
        <v>100</v>
      </c>
      <c r="M14" s="40">
        <f t="shared" si="1"/>
        <v>0.38</v>
      </c>
      <c r="N14" s="39" t="s">
        <v>58</v>
      </c>
      <c r="O14" s="39" t="s">
        <v>76</v>
      </c>
      <c r="P14" s="39" t="s">
        <v>45</v>
      </c>
      <c r="Q14" s="134">
        <f t="shared" si="2"/>
      </c>
      <c r="R14" s="271">
        <f>Отчет!$Q$4</f>
        <v>937015</v>
      </c>
    </row>
    <row r="15" spans="1:18" ht="12.75">
      <c r="A15" s="308">
        <v>14</v>
      </c>
      <c r="B15" s="21" t="s">
        <v>613</v>
      </c>
      <c r="C15" s="39" t="s">
        <v>612</v>
      </c>
      <c r="D15" s="39" t="s">
        <v>371</v>
      </c>
      <c r="E15" s="42" t="s">
        <v>392</v>
      </c>
      <c r="F15" s="39" t="s">
        <v>153</v>
      </c>
      <c r="G15" s="176">
        <v>7</v>
      </c>
      <c r="H15" s="270">
        <f t="shared" si="0"/>
        <v>7</v>
      </c>
      <c r="I15" s="39"/>
      <c r="J15" s="39" t="s">
        <v>126</v>
      </c>
      <c r="K15" s="165">
        <v>26</v>
      </c>
      <c r="L15" s="39">
        <v>100</v>
      </c>
      <c r="M15" s="40">
        <f t="shared" si="1"/>
        <v>0.26</v>
      </c>
      <c r="N15" s="39" t="s">
        <v>58</v>
      </c>
      <c r="O15" s="39" t="s">
        <v>76</v>
      </c>
      <c r="P15" s="39" t="s">
        <v>45</v>
      </c>
      <c r="Q15" s="134">
        <f t="shared" si="2"/>
      </c>
      <c r="R15" s="271">
        <f>Отчет!$Q$4</f>
        <v>937015</v>
      </c>
    </row>
    <row r="16" spans="1:18" ht="12.75">
      <c r="A16" s="308">
        <v>15</v>
      </c>
      <c r="B16" s="21" t="s">
        <v>396</v>
      </c>
      <c r="C16" s="39" t="s">
        <v>388</v>
      </c>
      <c r="D16" s="39" t="s">
        <v>614</v>
      </c>
      <c r="E16" s="42" t="s">
        <v>392</v>
      </c>
      <c r="F16" s="39" t="s">
        <v>153</v>
      </c>
      <c r="G16" s="176">
        <v>8</v>
      </c>
      <c r="H16" s="270">
        <f t="shared" si="0"/>
        <v>8</v>
      </c>
      <c r="I16" s="39"/>
      <c r="J16" s="39" t="s">
        <v>126</v>
      </c>
      <c r="K16" s="165">
        <v>47</v>
      </c>
      <c r="L16" s="39">
        <v>100</v>
      </c>
      <c r="M16" s="40">
        <f t="shared" si="1"/>
        <v>0.47</v>
      </c>
      <c r="N16" s="39" t="s">
        <v>50</v>
      </c>
      <c r="O16" s="39" t="s">
        <v>76</v>
      </c>
      <c r="P16" s="39" t="s">
        <v>45</v>
      </c>
      <c r="Q16" s="134">
        <f t="shared" si="2"/>
      </c>
      <c r="R16" s="271">
        <f>Отчет!$Q$4</f>
        <v>937015</v>
      </c>
    </row>
    <row r="17" spans="1:18" ht="12.75">
      <c r="A17" s="308">
        <v>16</v>
      </c>
      <c r="B17" s="21" t="s">
        <v>615</v>
      </c>
      <c r="C17" s="39" t="s">
        <v>616</v>
      </c>
      <c r="D17" s="39" t="s">
        <v>386</v>
      </c>
      <c r="E17" s="42" t="s">
        <v>392</v>
      </c>
      <c r="F17" s="39" t="s">
        <v>153</v>
      </c>
      <c r="G17" s="176">
        <v>8</v>
      </c>
      <c r="H17" s="270">
        <f t="shared" si="0"/>
        <v>8</v>
      </c>
      <c r="I17" s="39"/>
      <c r="J17" s="39" t="s">
        <v>126</v>
      </c>
      <c r="K17" s="165">
        <v>33</v>
      </c>
      <c r="L17" s="39">
        <v>100</v>
      </c>
      <c r="M17" s="40">
        <f t="shared" si="1"/>
        <v>0.33</v>
      </c>
      <c r="N17" s="39" t="s">
        <v>58</v>
      </c>
      <c r="O17" s="39" t="s">
        <v>76</v>
      </c>
      <c r="P17" s="39" t="s">
        <v>45</v>
      </c>
      <c r="Q17" s="134">
        <f t="shared" si="2"/>
      </c>
      <c r="R17" s="271">
        <f>Отчет!$Q$4</f>
        <v>937015</v>
      </c>
    </row>
    <row r="18" spans="1:18" ht="12.75">
      <c r="A18" s="308">
        <v>17</v>
      </c>
      <c r="B18" s="21" t="s">
        <v>617</v>
      </c>
      <c r="C18" s="39" t="s">
        <v>370</v>
      </c>
      <c r="D18" s="39" t="s">
        <v>374</v>
      </c>
      <c r="E18" s="42" t="s">
        <v>392</v>
      </c>
      <c r="F18" s="39" t="s">
        <v>153</v>
      </c>
      <c r="G18" s="176">
        <v>8</v>
      </c>
      <c r="H18" s="270">
        <f t="shared" si="0"/>
        <v>8</v>
      </c>
      <c r="I18" s="39"/>
      <c r="J18" s="39" t="s">
        <v>126</v>
      </c>
      <c r="K18" s="165">
        <v>30</v>
      </c>
      <c r="L18" s="39">
        <v>100</v>
      </c>
      <c r="M18" s="40">
        <f t="shared" si="1"/>
        <v>0.3</v>
      </c>
      <c r="N18" s="39" t="s">
        <v>58</v>
      </c>
      <c r="O18" s="39" t="s">
        <v>76</v>
      </c>
      <c r="P18" s="39" t="s">
        <v>45</v>
      </c>
      <c r="Q18" s="134">
        <f t="shared" si="2"/>
      </c>
      <c r="R18" s="271">
        <f>Отчет!$Q$4</f>
        <v>937015</v>
      </c>
    </row>
    <row r="19" spans="1:18" ht="12.75">
      <c r="A19" s="308">
        <v>18</v>
      </c>
      <c r="B19" s="21" t="s">
        <v>539</v>
      </c>
      <c r="C19" s="39" t="s">
        <v>419</v>
      </c>
      <c r="D19" s="39" t="s">
        <v>538</v>
      </c>
      <c r="E19" s="42" t="s">
        <v>392</v>
      </c>
      <c r="F19" s="39" t="s">
        <v>153</v>
      </c>
      <c r="G19" s="176">
        <v>8</v>
      </c>
      <c r="H19" s="270">
        <f t="shared" si="0"/>
        <v>8</v>
      </c>
      <c r="I19" s="39"/>
      <c r="J19" s="39" t="s">
        <v>126</v>
      </c>
      <c r="K19" s="165">
        <v>27</v>
      </c>
      <c r="L19" s="39">
        <v>100</v>
      </c>
      <c r="M19" s="40">
        <f t="shared" si="1"/>
        <v>0.27</v>
      </c>
      <c r="N19" s="39" t="s">
        <v>58</v>
      </c>
      <c r="O19" s="39" t="s">
        <v>76</v>
      </c>
      <c r="P19" s="100" t="s">
        <v>45</v>
      </c>
      <c r="Q19" s="134">
        <f t="shared" si="2"/>
      </c>
      <c r="R19" s="271">
        <f>Отчет!$Q$4</f>
        <v>937015</v>
      </c>
    </row>
    <row r="20" spans="1:18" ht="12.75">
      <c r="A20" s="308">
        <v>19</v>
      </c>
      <c r="B20" s="21" t="s">
        <v>618</v>
      </c>
      <c r="C20" s="39" t="s">
        <v>436</v>
      </c>
      <c r="D20" s="39" t="s">
        <v>535</v>
      </c>
      <c r="E20" s="42" t="s">
        <v>402</v>
      </c>
      <c r="F20" s="39" t="s">
        <v>153</v>
      </c>
      <c r="G20" s="176">
        <v>8</v>
      </c>
      <c r="H20" s="270">
        <f t="shared" si="0"/>
        <v>8</v>
      </c>
      <c r="I20" s="39"/>
      <c r="J20" s="39" t="s">
        <v>126</v>
      </c>
      <c r="K20" s="165">
        <v>23</v>
      </c>
      <c r="L20" s="39">
        <v>100</v>
      </c>
      <c r="M20" s="40">
        <f t="shared" si="1"/>
        <v>0.23</v>
      </c>
      <c r="N20" s="39" t="s">
        <v>58</v>
      </c>
      <c r="O20" s="39" t="s">
        <v>76</v>
      </c>
      <c r="P20" s="39" t="s">
        <v>45</v>
      </c>
      <c r="Q20" s="134">
        <f t="shared" si="2"/>
      </c>
      <c r="R20" s="271">
        <f>Отчет!$Q$4</f>
        <v>937015</v>
      </c>
    </row>
    <row r="21" spans="1:18" ht="12.75">
      <c r="A21" s="308">
        <v>20</v>
      </c>
      <c r="B21" s="21" t="s">
        <v>619</v>
      </c>
      <c r="C21" s="39" t="s">
        <v>373</v>
      </c>
      <c r="D21" s="39" t="s">
        <v>380</v>
      </c>
      <c r="E21" s="42" t="s">
        <v>392</v>
      </c>
      <c r="F21" s="39" t="s">
        <v>153</v>
      </c>
      <c r="G21" s="176">
        <v>8</v>
      </c>
      <c r="H21" s="270">
        <f t="shared" si="0"/>
        <v>8</v>
      </c>
      <c r="I21" s="39"/>
      <c r="J21" s="39" t="s">
        <v>126</v>
      </c>
      <c r="K21" s="165">
        <v>22</v>
      </c>
      <c r="L21" s="39">
        <v>100</v>
      </c>
      <c r="M21" s="40">
        <f t="shared" si="1"/>
        <v>0.22</v>
      </c>
      <c r="N21" s="39" t="s">
        <v>58</v>
      </c>
      <c r="O21" s="39" t="s">
        <v>76</v>
      </c>
      <c r="P21" s="39" t="s">
        <v>45</v>
      </c>
      <c r="Q21" s="134">
        <f t="shared" si="2"/>
      </c>
      <c r="R21" s="271">
        <f>Отчет!$Q$4</f>
        <v>937015</v>
      </c>
    </row>
    <row r="22" spans="1:18" ht="12.75">
      <c r="A22" s="308">
        <v>21</v>
      </c>
      <c r="B22" s="21" t="s">
        <v>619</v>
      </c>
      <c r="C22" s="39" t="s">
        <v>388</v>
      </c>
      <c r="D22" s="39" t="s">
        <v>614</v>
      </c>
      <c r="E22" s="42" t="s">
        <v>392</v>
      </c>
      <c r="F22" s="39" t="s">
        <v>153</v>
      </c>
      <c r="G22" s="176">
        <v>8</v>
      </c>
      <c r="H22" s="270">
        <f t="shared" si="0"/>
        <v>8</v>
      </c>
      <c r="I22" s="39"/>
      <c r="J22" s="39" t="s">
        <v>126</v>
      </c>
      <c r="K22" s="165">
        <v>16</v>
      </c>
      <c r="L22" s="39">
        <v>100</v>
      </c>
      <c r="M22" s="40">
        <f t="shared" si="1"/>
        <v>0.16</v>
      </c>
      <c r="N22" s="39" t="s">
        <v>58</v>
      </c>
      <c r="O22" s="39" t="s">
        <v>76</v>
      </c>
      <c r="P22" s="39" t="s">
        <v>45</v>
      </c>
      <c r="Q22" s="134">
        <f t="shared" si="2"/>
      </c>
      <c r="R22" s="271">
        <f>Отчет!$Q$4</f>
        <v>937015</v>
      </c>
    </row>
    <row r="23" spans="1:18" ht="12.75">
      <c r="A23" s="308">
        <v>22</v>
      </c>
      <c r="B23" s="21" t="s">
        <v>620</v>
      </c>
      <c r="C23" s="39" t="s">
        <v>560</v>
      </c>
      <c r="D23" s="39" t="s">
        <v>579</v>
      </c>
      <c r="E23" s="42" t="s">
        <v>392</v>
      </c>
      <c r="F23" s="39" t="s">
        <v>153</v>
      </c>
      <c r="G23" s="176">
        <v>8</v>
      </c>
      <c r="H23" s="270">
        <f t="shared" si="0"/>
        <v>8</v>
      </c>
      <c r="I23" s="39"/>
      <c r="J23" s="39" t="s">
        <v>126</v>
      </c>
      <c r="K23" s="165">
        <v>12</v>
      </c>
      <c r="L23" s="39">
        <v>100</v>
      </c>
      <c r="M23" s="40">
        <f t="shared" si="1"/>
        <v>0.12</v>
      </c>
      <c r="N23" s="39" t="s">
        <v>58</v>
      </c>
      <c r="O23" s="39" t="s">
        <v>76</v>
      </c>
      <c r="P23" s="39" t="s">
        <v>45</v>
      </c>
      <c r="Q23" s="134">
        <f t="shared" si="2"/>
      </c>
      <c r="R23" s="271">
        <f>Отчет!$Q$4</f>
        <v>937015</v>
      </c>
    </row>
    <row r="24" spans="1:18" ht="12.75">
      <c r="A24" s="308">
        <v>23</v>
      </c>
      <c r="B24" s="39" t="s">
        <v>621</v>
      </c>
      <c r="C24" s="39" t="s">
        <v>445</v>
      </c>
      <c r="D24" s="39" t="s">
        <v>496</v>
      </c>
      <c r="E24" s="42" t="s">
        <v>402</v>
      </c>
      <c r="F24" s="39" t="s">
        <v>153</v>
      </c>
      <c r="G24" s="176">
        <v>8</v>
      </c>
      <c r="H24" s="270">
        <f t="shared" si="0"/>
        <v>8</v>
      </c>
      <c r="I24" s="39"/>
      <c r="J24" s="39" t="s">
        <v>126</v>
      </c>
      <c r="K24" s="41">
        <v>8</v>
      </c>
      <c r="L24" s="39">
        <v>100</v>
      </c>
      <c r="M24" s="40">
        <f t="shared" si="1"/>
        <v>0.08</v>
      </c>
      <c r="N24" s="39" t="s">
        <v>58</v>
      </c>
      <c r="O24" s="39" t="s">
        <v>76</v>
      </c>
      <c r="P24" s="39" t="s">
        <v>45</v>
      </c>
      <c r="Q24" s="134">
        <f t="shared" si="2"/>
      </c>
      <c r="R24" s="271">
        <f>Отчет!$Q$4</f>
        <v>937015</v>
      </c>
    </row>
    <row r="25" spans="1:18" ht="12.75">
      <c r="A25" s="308">
        <v>24</v>
      </c>
      <c r="B25" s="39" t="s">
        <v>622</v>
      </c>
      <c r="C25" s="39" t="s">
        <v>623</v>
      </c>
      <c r="D25" s="39" t="s">
        <v>374</v>
      </c>
      <c r="E25" s="42" t="s">
        <v>392</v>
      </c>
      <c r="F25" s="39" t="s">
        <v>153</v>
      </c>
      <c r="G25" s="176">
        <v>9</v>
      </c>
      <c r="H25" s="270">
        <f t="shared" si="0"/>
        <v>9</v>
      </c>
      <c r="I25" s="39"/>
      <c r="J25" s="39" t="s">
        <v>126</v>
      </c>
      <c r="K25" s="41">
        <v>60</v>
      </c>
      <c r="L25" s="39">
        <v>100</v>
      </c>
      <c r="M25" s="40">
        <f t="shared" si="1"/>
        <v>0.6</v>
      </c>
      <c r="N25" s="39" t="s">
        <v>49</v>
      </c>
      <c r="O25" s="39" t="s">
        <v>76</v>
      </c>
      <c r="P25" s="39" t="s">
        <v>45</v>
      </c>
      <c r="Q25" s="134">
        <f t="shared" si="2"/>
      </c>
      <c r="R25" s="271">
        <f>Отчет!$Q$4</f>
        <v>937015</v>
      </c>
    </row>
    <row r="26" spans="1:18" ht="12.75">
      <c r="A26" s="308">
        <v>25</v>
      </c>
      <c r="B26" s="39" t="s">
        <v>624</v>
      </c>
      <c r="C26" s="39" t="s">
        <v>612</v>
      </c>
      <c r="D26" s="39" t="s">
        <v>456</v>
      </c>
      <c r="E26" s="42" t="s">
        <v>392</v>
      </c>
      <c r="F26" s="39" t="s">
        <v>153</v>
      </c>
      <c r="G26" s="176">
        <v>9</v>
      </c>
      <c r="H26" s="270">
        <f t="shared" si="0"/>
        <v>9</v>
      </c>
      <c r="I26" s="39"/>
      <c r="J26" s="39" t="s">
        <v>126</v>
      </c>
      <c r="K26" s="41">
        <v>46</v>
      </c>
      <c r="L26" s="39">
        <v>100</v>
      </c>
      <c r="M26" s="40">
        <f t="shared" si="1"/>
        <v>0.46</v>
      </c>
      <c r="N26" s="39" t="s">
        <v>50</v>
      </c>
      <c r="O26" s="39" t="s">
        <v>76</v>
      </c>
      <c r="P26" s="39" t="s">
        <v>45</v>
      </c>
      <c r="Q26" s="134">
        <f t="shared" si="2"/>
      </c>
      <c r="R26" s="271">
        <f>Отчет!$Q$4</f>
        <v>937015</v>
      </c>
    </row>
    <row r="27" spans="1:18" ht="12.75">
      <c r="A27" s="308">
        <v>26</v>
      </c>
      <c r="B27" s="100" t="s">
        <v>468</v>
      </c>
      <c r="C27" s="100" t="s">
        <v>612</v>
      </c>
      <c r="D27" s="100" t="s">
        <v>470</v>
      </c>
      <c r="E27" s="104" t="s">
        <v>392</v>
      </c>
      <c r="F27" s="39" t="s">
        <v>153</v>
      </c>
      <c r="G27" s="176">
        <v>9</v>
      </c>
      <c r="H27" s="270">
        <f t="shared" si="0"/>
        <v>9</v>
      </c>
      <c r="I27" s="100"/>
      <c r="J27" s="39" t="s">
        <v>126</v>
      </c>
      <c r="K27" s="102">
        <v>29</v>
      </c>
      <c r="L27" s="100">
        <v>100</v>
      </c>
      <c r="M27" s="40">
        <f t="shared" si="1"/>
        <v>0.29</v>
      </c>
      <c r="N27" s="39" t="s">
        <v>58</v>
      </c>
      <c r="O27" s="39" t="s">
        <v>76</v>
      </c>
      <c r="P27" s="39" t="s">
        <v>45</v>
      </c>
      <c r="Q27" s="134">
        <f t="shared" si="2"/>
      </c>
      <c r="R27" s="271">
        <f>Отчет!$Q$4</f>
        <v>937015</v>
      </c>
    </row>
    <row r="28" spans="1:18" ht="12.75">
      <c r="A28" s="308">
        <v>27</v>
      </c>
      <c r="B28" s="39" t="s">
        <v>537</v>
      </c>
      <c r="C28" s="39" t="s">
        <v>416</v>
      </c>
      <c r="D28" s="39" t="s">
        <v>536</v>
      </c>
      <c r="E28" s="42" t="s">
        <v>402</v>
      </c>
      <c r="F28" s="39" t="s">
        <v>153</v>
      </c>
      <c r="G28" s="176">
        <v>9</v>
      </c>
      <c r="H28" s="270">
        <f t="shared" si="0"/>
        <v>9</v>
      </c>
      <c r="I28" s="42"/>
      <c r="J28" s="39" t="s">
        <v>126</v>
      </c>
      <c r="K28" s="203">
        <v>22</v>
      </c>
      <c r="L28" s="39">
        <v>100</v>
      </c>
      <c r="M28" s="40">
        <f t="shared" si="1"/>
        <v>0.22</v>
      </c>
      <c r="N28" s="39" t="s">
        <v>58</v>
      </c>
      <c r="O28" s="39" t="s">
        <v>76</v>
      </c>
      <c r="P28" s="39" t="s">
        <v>45</v>
      </c>
      <c r="Q28" s="134">
        <f t="shared" si="2"/>
      </c>
      <c r="R28" s="271">
        <f>Отчет!$Q$4</f>
        <v>937015</v>
      </c>
    </row>
    <row r="29" spans="1:18" ht="12.75">
      <c r="A29" s="308">
        <v>28</v>
      </c>
      <c r="B29" s="39" t="s">
        <v>625</v>
      </c>
      <c r="C29" s="39" t="s">
        <v>520</v>
      </c>
      <c r="D29" s="39" t="s">
        <v>437</v>
      </c>
      <c r="E29" s="42" t="s">
        <v>402</v>
      </c>
      <c r="F29" s="39" t="s">
        <v>153</v>
      </c>
      <c r="G29" s="176">
        <v>9</v>
      </c>
      <c r="H29" s="270">
        <f t="shared" si="0"/>
        <v>9</v>
      </c>
      <c r="I29" s="42"/>
      <c r="J29" s="39" t="s">
        <v>126</v>
      </c>
      <c r="K29" s="203">
        <v>22</v>
      </c>
      <c r="L29" s="39">
        <v>100</v>
      </c>
      <c r="M29" s="40">
        <f t="shared" si="1"/>
        <v>0.22</v>
      </c>
      <c r="N29" s="39" t="s">
        <v>58</v>
      </c>
      <c r="O29" s="39" t="s">
        <v>76</v>
      </c>
      <c r="P29" s="39" t="s">
        <v>45</v>
      </c>
      <c r="Q29" s="134">
        <f t="shared" si="2"/>
      </c>
      <c r="R29" s="271">
        <f>Отчет!$Q$4</f>
        <v>937015</v>
      </c>
    </row>
    <row r="30" spans="1:18" ht="12.75">
      <c r="A30" s="308">
        <v>29</v>
      </c>
      <c r="B30" s="39" t="s">
        <v>626</v>
      </c>
      <c r="C30" s="39" t="s">
        <v>377</v>
      </c>
      <c r="D30" s="39" t="s">
        <v>386</v>
      </c>
      <c r="E30" s="42" t="s">
        <v>392</v>
      </c>
      <c r="F30" s="39" t="s">
        <v>153</v>
      </c>
      <c r="G30" s="176">
        <v>9</v>
      </c>
      <c r="H30" s="270">
        <f t="shared" si="0"/>
        <v>9</v>
      </c>
      <c r="I30" s="39"/>
      <c r="J30" s="39" t="s">
        <v>126</v>
      </c>
      <c r="K30" s="41">
        <v>10</v>
      </c>
      <c r="L30" s="39">
        <v>100</v>
      </c>
      <c r="M30" s="40">
        <f t="shared" si="1"/>
        <v>0.1</v>
      </c>
      <c r="N30" s="39" t="s">
        <v>58</v>
      </c>
      <c r="O30" s="39" t="s">
        <v>76</v>
      </c>
      <c r="P30" s="39" t="s">
        <v>45</v>
      </c>
      <c r="Q30" s="134">
        <f t="shared" si="2"/>
      </c>
      <c r="R30" s="271">
        <f>Отчет!$Q$4</f>
        <v>937015</v>
      </c>
    </row>
    <row r="31" spans="1:18" ht="12.75">
      <c r="A31" s="308">
        <v>30</v>
      </c>
      <c r="B31" s="39" t="s">
        <v>627</v>
      </c>
      <c r="C31" s="39" t="s">
        <v>397</v>
      </c>
      <c r="D31" s="39" t="s">
        <v>474</v>
      </c>
      <c r="E31" s="42" t="s">
        <v>392</v>
      </c>
      <c r="F31" s="39" t="s">
        <v>153</v>
      </c>
      <c r="G31" s="176">
        <v>10</v>
      </c>
      <c r="H31" s="270">
        <f t="shared" si="0"/>
        <v>10</v>
      </c>
      <c r="I31" s="39"/>
      <c r="J31" s="39" t="s">
        <v>126</v>
      </c>
      <c r="K31" s="41">
        <v>53</v>
      </c>
      <c r="L31" s="39">
        <v>100</v>
      </c>
      <c r="M31" s="40">
        <f t="shared" si="1"/>
        <v>0.53</v>
      </c>
      <c r="N31" s="39" t="s">
        <v>49</v>
      </c>
      <c r="O31" s="39" t="s">
        <v>76</v>
      </c>
      <c r="P31" s="39" t="s">
        <v>45</v>
      </c>
      <c r="Q31" s="134">
        <f t="shared" si="2"/>
      </c>
      <c r="R31" s="271">
        <f>Отчет!$Q$4</f>
        <v>937015</v>
      </c>
    </row>
    <row r="32" spans="1:18" ht="12.75">
      <c r="A32" s="308">
        <v>31</v>
      </c>
      <c r="B32" s="39" t="s">
        <v>514</v>
      </c>
      <c r="C32" s="39" t="s">
        <v>452</v>
      </c>
      <c r="D32" s="39" t="s">
        <v>471</v>
      </c>
      <c r="E32" s="42" t="s">
        <v>402</v>
      </c>
      <c r="F32" s="39" t="s">
        <v>153</v>
      </c>
      <c r="G32" s="176">
        <v>10</v>
      </c>
      <c r="H32" s="270">
        <f t="shared" si="0"/>
        <v>10</v>
      </c>
      <c r="I32" s="39"/>
      <c r="J32" s="39" t="s">
        <v>126</v>
      </c>
      <c r="K32" s="41">
        <v>47</v>
      </c>
      <c r="L32" s="39">
        <v>100</v>
      </c>
      <c r="M32" s="40">
        <f t="shared" si="1"/>
        <v>0.47</v>
      </c>
      <c r="N32" s="39" t="s">
        <v>50</v>
      </c>
      <c r="O32" s="39" t="s">
        <v>76</v>
      </c>
      <c r="P32" s="39" t="s">
        <v>45</v>
      </c>
      <c r="Q32" s="134">
        <f t="shared" si="2"/>
      </c>
      <c r="R32" s="271">
        <f>Отчет!$Q$4</f>
        <v>937015</v>
      </c>
    </row>
    <row r="33" spans="1:18" ht="12.75">
      <c r="A33" s="308">
        <v>32</v>
      </c>
      <c r="B33" s="100" t="s">
        <v>515</v>
      </c>
      <c r="C33" s="100" t="s">
        <v>517</v>
      </c>
      <c r="D33" s="100" t="s">
        <v>417</v>
      </c>
      <c r="E33" s="104" t="s">
        <v>402</v>
      </c>
      <c r="F33" s="39" t="s">
        <v>153</v>
      </c>
      <c r="G33" s="176">
        <v>10</v>
      </c>
      <c r="H33" s="270">
        <f t="shared" si="0"/>
        <v>10</v>
      </c>
      <c r="I33" s="100"/>
      <c r="J33" s="39" t="s">
        <v>126</v>
      </c>
      <c r="K33" s="102">
        <v>40</v>
      </c>
      <c r="L33" s="100">
        <v>100</v>
      </c>
      <c r="M33" s="40">
        <f t="shared" si="1"/>
        <v>0.4</v>
      </c>
      <c r="N33" s="39" t="s">
        <v>58</v>
      </c>
      <c r="O33" s="39" t="s">
        <v>76</v>
      </c>
      <c r="P33" s="39" t="s">
        <v>45</v>
      </c>
      <c r="Q33" s="134">
        <f t="shared" si="2"/>
      </c>
      <c r="R33" s="271">
        <f>Отчет!$Q$4</f>
        <v>937015</v>
      </c>
    </row>
    <row r="34" spans="1:18" ht="12.75">
      <c r="A34" s="308">
        <v>33</v>
      </c>
      <c r="B34" s="39" t="s">
        <v>628</v>
      </c>
      <c r="C34" s="39" t="s">
        <v>629</v>
      </c>
      <c r="D34" s="39" t="s">
        <v>630</v>
      </c>
      <c r="E34" s="42" t="s">
        <v>392</v>
      </c>
      <c r="F34" s="39" t="s">
        <v>153</v>
      </c>
      <c r="G34" s="176">
        <v>10</v>
      </c>
      <c r="H34" s="270">
        <f t="shared" si="0"/>
        <v>10</v>
      </c>
      <c r="I34" s="42"/>
      <c r="J34" s="39" t="s">
        <v>126</v>
      </c>
      <c r="K34" s="203">
        <v>39</v>
      </c>
      <c r="L34" s="39">
        <v>100</v>
      </c>
      <c r="M34" s="40">
        <f t="shared" si="1"/>
        <v>0.39</v>
      </c>
      <c r="N34" s="39" t="s">
        <v>58</v>
      </c>
      <c r="O34" s="39" t="s">
        <v>76</v>
      </c>
      <c r="P34" s="39" t="s">
        <v>45</v>
      </c>
      <c r="Q34" s="134">
        <f t="shared" si="2"/>
      </c>
      <c r="R34" s="271">
        <f>Отчет!$Q$4</f>
        <v>937015</v>
      </c>
    </row>
    <row r="35" spans="1:18" ht="12.75">
      <c r="A35" s="308">
        <v>34</v>
      </c>
      <c r="B35" s="39" t="s">
        <v>631</v>
      </c>
      <c r="C35" s="39" t="s">
        <v>370</v>
      </c>
      <c r="D35" s="39" t="s">
        <v>480</v>
      </c>
      <c r="E35" s="42" t="s">
        <v>392</v>
      </c>
      <c r="F35" s="39" t="s">
        <v>153</v>
      </c>
      <c r="G35" s="176">
        <v>10</v>
      </c>
      <c r="H35" s="270">
        <f t="shared" si="0"/>
        <v>10</v>
      </c>
      <c r="I35" s="42"/>
      <c r="J35" s="39" t="s">
        <v>126</v>
      </c>
      <c r="K35" s="203">
        <v>38</v>
      </c>
      <c r="L35" s="39">
        <v>100</v>
      </c>
      <c r="M35" s="40">
        <f t="shared" si="1"/>
        <v>0.38</v>
      </c>
      <c r="N35" s="39" t="s">
        <v>58</v>
      </c>
      <c r="O35" s="39" t="s">
        <v>76</v>
      </c>
      <c r="P35" s="39" t="s">
        <v>45</v>
      </c>
      <c r="Q35" s="134">
        <f t="shared" si="2"/>
      </c>
      <c r="R35" s="271">
        <f>Отчет!$Q$4</f>
        <v>937015</v>
      </c>
    </row>
    <row r="36" spans="1:18" ht="12.75">
      <c r="A36" s="308">
        <v>35</v>
      </c>
      <c r="B36" s="100" t="s">
        <v>594</v>
      </c>
      <c r="C36" s="100" t="s">
        <v>560</v>
      </c>
      <c r="D36" s="100" t="s">
        <v>386</v>
      </c>
      <c r="E36" s="104" t="s">
        <v>392</v>
      </c>
      <c r="F36" s="39" t="s">
        <v>153</v>
      </c>
      <c r="G36" s="176">
        <v>10</v>
      </c>
      <c r="H36" s="270">
        <f t="shared" si="0"/>
        <v>10</v>
      </c>
      <c r="I36" s="100"/>
      <c r="J36" s="39" t="s">
        <v>126</v>
      </c>
      <c r="K36" s="102">
        <v>35</v>
      </c>
      <c r="L36" s="100">
        <v>100</v>
      </c>
      <c r="M36" s="40">
        <f t="shared" si="1"/>
        <v>0.35</v>
      </c>
      <c r="N36" s="39" t="s">
        <v>58</v>
      </c>
      <c r="O36" s="39" t="s">
        <v>76</v>
      </c>
      <c r="P36" s="39" t="s">
        <v>45</v>
      </c>
      <c r="Q36" s="134">
        <f t="shared" si="2"/>
      </c>
      <c r="R36" s="271">
        <f>Отчет!$Q$4</f>
        <v>937015</v>
      </c>
    </row>
    <row r="37" spans="1:18" ht="12.75">
      <c r="A37" s="308">
        <v>36</v>
      </c>
      <c r="B37" s="100" t="s">
        <v>632</v>
      </c>
      <c r="C37" s="100" t="s">
        <v>495</v>
      </c>
      <c r="D37" s="100" t="s">
        <v>633</v>
      </c>
      <c r="E37" s="104" t="s">
        <v>402</v>
      </c>
      <c r="F37" s="39" t="s">
        <v>153</v>
      </c>
      <c r="G37" s="176">
        <v>10</v>
      </c>
      <c r="H37" s="270">
        <f t="shared" si="0"/>
        <v>10</v>
      </c>
      <c r="I37" s="100"/>
      <c r="J37" s="39" t="s">
        <v>126</v>
      </c>
      <c r="K37" s="102">
        <v>32</v>
      </c>
      <c r="L37" s="100">
        <v>100</v>
      </c>
      <c r="M37" s="40">
        <f t="shared" si="1"/>
        <v>0.32</v>
      </c>
      <c r="N37" s="39" t="s">
        <v>58</v>
      </c>
      <c r="O37" s="39" t="s">
        <v>76</v>
      </c>
      <c r="P37" s="39" t="s">
        <v>45</v>
      </c>
      <c r="Q37" s="134">
        <f t="shared" si="2"/>
      </c>
      <c r="R37" s="271">
        <f>Отчет!$Q$4</f>
        <v>937015</v>
      </c>
    </row>
    <row r="38" spans="1:18" ht="12.75">
      <c r="A38" s="308">
        <v>37</v>
      </c>
      <c r="B38" s="39" t="s">
        <v>519</v>
      </c>
      <c r="C38" s="39" t="s">
        <v>520</v>
      </c>
      <c r="D38" s="39" t="s">
        <v>471</v>
      </c>
      <c r="E38" s="42" t="s">
        <v>402</v>
      </c>
      <c r="F38" s="39" t="s">
        <v>153</v>
      </c>
      <c r="G38" s="176">
        <v>10</v>
      </c>
      <c r="H38" s="270">
        <f t="shared" si="0"/>
        <v>10</v>
      </c>
      <c r="I38" s="42"/>
      <c r="J38" s="39" t="s">
        <v>126</v>
      </c>
      <c r="K38" s="203">
        <v>31</v>
      </c>
      <c r="L38" s="39">
        <v>100</v>
      </c>
      <c r="M38" s="40">
        <f t="shared" si="1"/>
        <v>0.31</v>
      </c>
      <c r="N38" s="39" t="s">
        <v>58</v>
      </c>
      <c r="O38" s="39" t="s">
        <v>76</v>
      </c>
      <c r="P38" s="39" t="s">
        <v>45</v>
      </c>
      <c r="Q38" s="134">
        <f t="shared" si="2"/>
      </c>
      <c r="R38" s="271">
        <f>Отчет!$Q$4</f>
        <v>937015</v>
      </c>
    </row>
    <row r="39" spans="1:18" ht="12.75">
      <c r="A39" s="308">
        <v>38</v>
      </c>
      <c r="B39" s="39" t="s">
        <v>634</v>
      </c>
      <c r="C39" s="39" t="s">
        <v>487</v>
      </c>
      <c r="D39" s="39" t="s">
        <v>378</v>
      </c>
      <c r="E39" s="42" t="s">
        <v>392</v>
      </c>
      <c r="F39" s="39" t="s">
        <v>153</v>
      </c>
      <c r="G39" s="176">
        <v>10</v>
      </c>
      <c r="H39" s="270">
        <f t="shared" si="0"/>
        <v>10</v>
      </c>
      <c r="I39" s="42"/>
      <c r="J39" s="39" t="s">
        <v>126</v>
      </c>
      <c r="K39" s="203">
        <v>29</v>
      </c>
      <c r="L39" s="39">
        <v>100</v>
      </c>
      <c r="M39" s="40">
        <f t="shared" si="1"/>
        <v>0.29</v>
      </c>
      <c r="N39" s="39" t="s">
        <v>58</v>
      </c>
      <c r="O39" s="39" t="s">
        <v>76</v>
      </c>
      <c r="P39" s="39" t="s">
        <v>45</v>
      </c>
      <c r="Q39" s="134">
        <f t="shared" si="2"/>
      </c>
      <c r="R39" s="271">
        <f>Отчет!$Q$4</f>
        <v>937015</v>
      </c>
    </row>
    <row r="40" spans="1:18" ht="12.75">
      <c r="A40" s="308">
        <v>39</v>
      </c>
      <c r="B40" s="39" t="s">
        <v>593</v>
      </c>
      <c r="C40" s="39" t="s">
        <v>516</v>
      </c>
      <c r="D40" s="39" t="s">
        <v>471</v>
      </c>
      <c r="E40" s="42" t="s">
        <v>402</v>
      </c>
      <c r="F40" s="39" t="s">
        <v>153</v>
      </c>
      <c r="G40" s="176">
        <v>10</v>
      </c>
      <c r="H40" s="270">
        <f t="shared" si="0"/>
        <v>10</v>
      </c>
      <c r="I40" s="39"/>
      <c r="J40" s="39" t="s">
        <v>126</v>
      </c>
      <c r="K40" s="41">
        <v>19</v>
      </c>
      <c r="L40" s="39">
        <v>100</v>
      </c>
      <c r="M40" s="40">
        <f t="shared" si="1"/>
        <v>0.19</v>
      </c>
      <c r="N40" s="39" t="s">
        <v>58</v>
      </c>
      <c r="O40" s="39" t="s">
        <v>76</v>
      </c>
      <c r="P40" s="39" t="s">
        <v>45</v>
      </c>
      <c r="Q40" s="134">
        <f t="shared" si="2"/>
      </c>
      <c r="R40" s="271">
        <f>Отчет!$Q$4</f>
        <v>937015</v>
      </c>
    </row>
    <row r="41" spans="1:18" ht="12.75">
      <c r="A41" s="308">
        <v>40</v>
      </c>
      <c r="B41" s="39" t="s">
        <v>635</v>
      </c>
      <c r="C41" s="39" t="s">
        <v>390</v>
      </c>
      <c r="D41" s="39" t="s">
        <v>386</v>
      </c>
      <c r="E41" s="42" t="s">
        <v>392</v>
      </c>
      <c r="F41" s="39" t="s">
        <v>153</v>
      </c>
      <c r="G41" s="176">
        <v>10</v>
      </c>
      <c r="H41" s="270">
        <f t="shared" si="0"/>
        <v>10</v>
      </c>
      <c r="I41" s="42"/>
      <c r="J41" s="39" t="s">
        <v>126</v>
      </c>
      <c r="K41" s="203">
        <v>19</v>
      </c>
      <c r="L41" s="39">
        <v>100</v>
      </c>
      <c r="M41" s="40">
        <f t="shared" si="1"/>
        <v>0.19</v>
      </c>
      <c r="N41" s="39" t="s">
        <v>58</v>
      </c>
      <c r="O41" s="39" t="s">
        <v>76</v>
      </c>
      <c r="P41" s="39" t="s">
        <v>45</v>
      </c>
      <c r="Q41" s="134">
        <f t="shared" si="2"/>
      </c>
      <c r="R41" s="271">
        <f>Отчет!$Q$4</f>
        <v>937015</v>
      </c>
    </row>
    <row r="42" spans="1:18" ht="12.75">
      <c r="A42" s="308">
        <v>41</v>
      </c>
      <c r="B42" s="39" t="s">
        <v>636</v>
      </c>
      <c r="C42" s="39" t="s">
        <v>637</v>
      </c>
      <c r="D42" s="39" t="s">
        <v>638</v>
      </c>
      <c r="E42" s="42" t="s">
        <v>392</v>
      </c>
      <c r="F42" s="39" t="s">
        <v>153</v>
      </c>
      <c r="G42" s="176">
        <v>10</v>
      </c>
      <c r="H42" s="270">
        <f t="shared" si="0"/>
        <v>10</v>
      </c>
      <c r="I42" s="42"/>
      <c r="J42" s="39" t="s">
        <v>126</v>
      </c>
      <c r="K42" s="203">
        <v>14</v>
      </c>
      <c r="L42" s="39">
        <v>100</v>
      </c>
      <c r="M42" s="40">
        <f t="shared" si="1"/>
        <v>0.14</v>
      </c>
      <c r="N42" s="39" t="s">
        <v>58</v>
      </c>
      <c r="O42" s="39" t="s">
        <v>76</v>
      </c>
      <c r="P42" s="39" t="s">
        <v>45</v>
      </c>
      <c r="Q42" s="134">
        <f t="shared" si="2"/>
      </c>
      <c r="R42" s="271">
        <f>Отчет!$Q$4</f>
        <v>937015</v>
      </c>
    </row>
    <row r="43" spans="1:18" ht="12.75">
      <c r="A43" s="308">
        <v>42</v>
      </c>
      <c r="B43" s="39" t="s">
        <v>639</v>
      </c>
      <c r="C43" s="39" t="s">
        <v>507</v>
      </c>
      <c r="D43" s="39" t="s">
        <v>401</v>
      </c>
      <c r="E43" s="42" t="s">
        <v>402</v>
      </c>
      <c r="F43" s="39" t="s">
        <v>153</v>
      </c>
      <c r="G43" s="176">
        <v>11</v>
      </c>
      <c r="H43" s="270">
        <f t="shared" si="0"/>
        <v>11</v>
      </c>
      <c r="I43" s="42"/>
      <c r="J43" s="39" t="s">
        <v>126</v>
      </c>
      <c r="K43" s="203">
        <v>46</v>
      </c>
      <c r="L43" s="39">
        <v>100</v>
      </c>
      <c r="M43" s="40">
        <f t="shared" si="1"/>
        <v>0.46</v>
      </c>
      <c r="N43" s="39" t="s">
        <v>50</v>
      </c>
      <c r="O43" s="39" t="s">
        <v>76</v>
      </c>
      <c r="P43" s="39" t="s">
        <v>45</v>
      </c>
      <c r="Q43" s="134">
        <f t="shared" si="2"/>
      </c>
      <c r="R43" s="271">
        <f>Отчет!$Q$4</f>
        <v>937015</v>
      </c>
    </row>
    <row r="44" spans="1:18" ht="12.75">
      <c r="A44" s="308">
        <v>43</v>
      </c>
      <c r="B44" s="39" t="s">
        <v>640</v>
      </c>
      <c r="C44" s="39" t="s">
        <v>385</v>
      </c>
      <c r="D44" s="39" t="s">
        <v>378</v>
      </c>
      <c r="E44" s="42" t="s">
        <v>392</v>
      </c>
      <c r="F44" s="39" t="s">
        <v>153</v>
      </c>
      <c r="G44" s="176">
        <v>11</v>
      </c>
      <c r="H44" s="270">
        <f t="shared" si="0"/>
        <v>11</v>
      </c>
      <c r="I44" s="42"/>
      <c r="J44" s="39" t="s">
        <v>126</v>
      </c>
      <c r="K44" s="203">
        <v>43</v>
      </c>
      <c r="L44" s="39">
        <v>100</v>
      </c>
      <c r="M44" s="40">
        <f t="shared" si="1"/>
        <v>0.43</v>
      </c>
      <c r="N44" s="39" t="s">
        <v>58</v>
      </c>
      <c r="O44" s="39" t="s">
        <v>76</v>
      </c>
      <c r="P44" s="39" t="s">
        <v>45</v>
      </c>
      <c r="Q44" s="134">
        <f t="shared" si="2"/>
      </c>
      <c r="R44" s="271">
        <f>Отчет!$Q$4</f>
        <v>937015</v>
      </c>
    </row>
    <row r="45" spans="1:18" ht="12.75">
      <c r="A45" s="308">
        <v>44</v>
      </c>
      <c r="B45" s="39" t="s">
        <v>641</v>
      </c>
      <c r="C45" s="39" t="s">
        <v>642</v>
      </c>
      <c r="D45" s="39" t="s">
        <v>437</v>
      </c>
      <c r="E45" s="42" t="s">
        <v>402</v>
      </c>
      <c r="F45" s="39" t="s">
        <v>153</v>
      </c>
      <c r="G45" s="176">
        <v>11</v>
      </c>
      <c r="H45" s="270">
        <f t="shared" si="0"/>
        <v>11</v>
      </c>
      <c r="I45" s="42"/>
      <c r="J45" s="39" t="s">
        <v>126</v>
      </c>
      <c r="K45" s="203">
        <v>20</v>
      </c>
      <c r="L45" s="39">
        <v>100</v>
      </c>
      <c r="M45" s="40">
        <f t="shared" si="1"/>
        <v>0.2</v>
      </c>
      <c r="N45" s="39" t="s">
        <v>58</v>
      </c>
      <c r="O45" s="39" t="s">
        <v>76</v>
      </c>
      <c r="P45" s="39" t="s">
        <v>45</v>
      </c>
      <c r="Q45" s="134">
        <f t="shared" si="2"/>
      </c>
      <c r="R45" s="271">
        <f>Отчет!$Q$4</f>
        <v>937015</v>
      </c>
    </row>
    <row r="46" spans="1:18" ht="12.75">
      <c r="A46" s="308">
        <v>45</v>
      </c>
      <c r="B46" s="39" t="s">
        <v>372</v>
      </c>
      <c r="C46" s="39" t="s">
        <v>373</v>
      </c>
      <c r="D46" s="39" t="s">
        <v>374</v>
      </c>
      <c r="E46" s="42" t="s">
        <v>392</v>
      </c>
      <c r="F46" s="39" t="s">
        <v>153</v>
      </c>
      <c r="G46" s="176">
        <v>11</v>
      </c>
      <c r="H46" s="270">
        <f t="shared" si="0"/>
        <v>11</v>
      </c>
      <c r="I46" s="42"/>
      <c r="J46" s="39" t="s">
        <v>126</v>
      </c>
      <c r="K46" s="203">
        <v>19</v>
      </c>
      <c r="L46" s="39">
        <v>100</v>
      </c>
      <c r="M46" s="40">
        <f t="shared" si="1"/>
        <v>0.19</v>
      </c>
      <c r="N46" s="39" t="s">
        <v>58</v>
      </c>
      <c r="O46" s="39" t="s">
        <v>76</v>
      </c>
      <c r="P46" s="39" t="s">
        <v>45</v>
      </c>
      <c r="Q46" s="134">
        <f t="shared" si="2"/>
      </c>
      <c r="R46" s="271">
        <f>Отчет!$Q$4</f>
        <v>937015</v>
      </c>
    </row>
    <row r="47" spans="1:18" ht="12.75">
      <c r="A47" s="308">
        <v>46</v>
      </c>
      <c r="B47" s="39" t="s">
        <v>601</v>
      </c>
      <c r="C47" s="39" t="s">
        <v>388</v>
      </c>
      <c r="D47" s="39" t="s">
        <v>386</v>
      </c>
      <c r="E47" s="42" t="s">
        <v>392</v>
      </c>
      <c r="F47" s="39" t="s">
        <v>153</v>
      </c>
      <c r="G47" s="176">
        <v>11</v>
      </c>
      <c r="H47" s="270">
        <f t="shared" si="0"/>
        <v>11</v>
      </c>
      <c r="I47" s="42"/>
      <c r="J47" s="39" t="s">
        <v>126</v>
      </c>
      <c r="K47" s="203">
        <v>17</v>
      </c>
      <c r="L47" s="39">
        <v>100</v>
      </c>
      <c r="M47" s="40">
        <f t="shared" si="1"/>
        <v>0.17</v>
      </c>
      <c r="N47" s="39" t="s">
        <v>58</v>
      </c>
      <c r="O47" s="39" t="s">
        <v>76</v>
      </c>
      <c r="P47" s="39" t="s">
        <v>45</v>
      </c>
      <c r="Q47" s="134">
        <f t="shared" si="2"/>
      </c>
      <c r="R47" s="271">
        <f>Отчет!$Q$4</f>
        <v>937015</v>
      </c>
    </row>
    <row r="48" spans="3:16" ht="12.75">
      <c r="C48" s="73"/>
      <c r="D48" s="73"/>
      <c r="E48" s="73"/>
      <c r="F48" s="73"/>
      <c r="G48" s="73"/>
      <c r="H48" s="73"/>
      <c r="I48" s="73"/>
      <c r="J48" s="73"/>
      <c r="K48" s="79"/>
      <c r="L48" s="73"/>
      <c r="M48" s="80"/>
      <c r="N48" s="73"/>
      <c r="O48" s="164"/>
      <c r="P48" s="73"/>
    </row>
    <row r="49" spans="3:16" ht="12.75">
      <c r="C49" s="73"/>
      <c r="D49" s="73"/>
      <c r="E49" s="73"/>
      <c r="F49" s="73"/>
      <c r="G49" s="73"/>
      <c r="H49" s="73"/>
      <c r="I49" s="73"/>
      <c r="J49" s="73"/>
      <c r="K49" s="79"/>
      <c r="L49" s="73"/>
      <c r="M49" s="80"/>
      <c r="N49" s="73"/>
      <c r="O49" s="164"/>
      <c r="P49" s="73"/>
    </row>
    <row r="50" spans="3:16" ht="12.75">
      <c r="C50" s="73"/>
      <c r="D50" s="73"/>
      <c r="E50" s="73"/>
      <c r="F50" s="73"/>
      <c r="G50" s="73"/>
      <c r="H50" s="73"/>
      <c r="I50" s="73"/>
      <c r="J50" s="73"/>
      <c r="K50" s="79"/>
      <c r="L50" s="73"/>
      <c r="M50" s="80"/>
      <c r="N50" s="73"/>
      <c r="O50" s="164"/>
      <c r="P50" s="73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47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42:H42"/>
  <sheetViews>
    <sheetView zoomScalePageLayoutView="0" workbookViewId="0" topLeftCell="A1">
      <selection activeCell="Q24" sqref="Q24"/>
    </sheetView>
  </sheetViews>
  <sheetFormatPr defaultColWidth="9.00390625" defaultRowHeight="12.75"/>
  <sheetData>
    <row r="42" ht="12.75">
      <c r="H42" t="s">
        <v>59</v>
      </c>
    </row>
  </sheetData>
  <sheetProtection password="DE6B" sheet="1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0.75390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6">
        <f>IF(COUNTIF(Q1:Q1000,"Введите дату рождения")&lt;&gt;0,"1","")</f>
      </c>
    </row>
    <row r="2" spans="1:18" ht="12.75">
      <c r="A2" s="42">
        <v>1</v>
      </c>
      <c r="B2" s="39" t="s">
        <v>676</v>
      </c>
      <c r="C2" s="39" t="s">
        <v>459</v>
      </c>
      <c r="D2" s="39" t="s">
        <v>470</v>
      </c>
      <c r="E2" s="42" t="s">
        <v>392</v>
      </c>
      <c r="F2" s="39" t="str">
        <f>Отчет!$C$4</f>
        <v>МБОУ СОШ № 153</v>
      </c>
      <c r="G2" s="176">
        <v>10</v>
      </c>
      <c r="H2" s="270">
        <f aca="true" t="shared" si="0" ref="H2:H20">G2</f>
        <v>10</v>
      </c>
      <c r="I2" s="39"/>
      <c r="J2" s="39" t="s">
        <v>126</v>
      </c>
      <c r="K2" s="165">
        <v>23</v>
      </c>
      <c r="L2" s="39">
        <v>57</v>
      </c>
      <c r="M2" s="52">
        <f aca="true" t="shared" si="1" ref="M2:M9">K2/L2</f>
        <v>0.40350877192982454</v>
      </c>
      <c r="N2" s="39" t="s">
        <v>50</v>
      </c>
      <c r="O2" s="39" t="s">
        <v>76</v>
      </c>
      <c r="P2" s="21" t="s">
        <v>18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>
        <v>2</v>
      </c>
      <c r="B3" s="39" t="s">
        <v>594</v>
      </c>
      <c r="C3" s="39" t="s">
        <v>560</v>
      </c>
      <c r="D3" s="39" t="s">
        <v>386</v>
      </c>
      <c r="E3" s="42" t="s">
        <v>392</v>
      </c>
      <c r="F3" s="39" t="str">
        <f>Отчет!$C$4</f>
        <v>МБОУ СОШ № 153</v>
      </c>
      <c r="G3" s="176">
        <v>10</v>
      </c>
      <c r="H3" s="270">
        <f t="shared" si="0"/>
        <v>10</v>
      </c>
      <c r="I3" s="39"/>
      <c r="J3" s="39" t="s">
        <v>126</v>
      </c>
      <c r="K3" s="165">
        <v>18</v>
      </c>
      <c r="L3" s="39">
        <v>57</v>
      </c>
      <c r="M3" s="52">
        <f t="shared" si="1"/>
        <v>0.3157894736842105</v>
      </c>
      <c r="N3" s="39" t="s">
        <v>58</v>
      </c>
      <c r="O3" s="39" t="s">
        <v>76</v>
      </c>
      <c r="P3" s="21" t="s">
        <v>18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>
      <c r="A4" s="199">
        <v>3</v>
      </c>
      <c r="B4" s="21" t="s">
        <v>515</v>
      </c>
      <c r="C4" s="39" t="s">
        <v>517</v>
      </c>
      <c r="D4" s="39" t="s">
        <v>417</v>
      </c>
      <c r="E4" s="42" t="s">
        <v>402</v>
      </c>
      <c r="F4" s="39" t="str">
        <f>Отчет!$C$4</f>
        <v>МБОУ СОШ № 153</v>
      </c>
      <c r="G4" s="176">
        <v>10</v>
      </c>
      <c r="H4" s="270">
        <f t="shared" si="0"/>
        <v>10</v>
      </c>
      <c r="I4" s="39"/>
      <c r="J4" s="39" t="s">
        <v>126</v>
      </c>
      <c r="K4" s="165">
        <v>14</v>
      </c>
      <c r="L4" s="39">
        <v>57</v>
      </c>
      <c r="M4" s="52">
        <f t="shared" si="1"/>
        <v>0.24561403508771928</v>
      </c>
      <c r="N4" s="39" t="s">
        <v>58</v>
      </c>
      <c r="O4" s="39" t="s">
        <v>76</v>
      </c>
      <c r="P4" s="21" t="s">
        <v>18</v>
      </c>
      <c r="Q4" s="134">
        <f t="shared" si="2"/>
      </c>
      <c r="R4" s="271">
        <f>Отчет!$Q$4</f>
        <v>937015</v>
      </c>
    </row>
    <row r="5" spans="1:18" ht="12.75">
      <c r="A5" s="199">
        <v>4</v>
      </c>
      <c r="B5" s="21" t="s">
        <v>593</v>
      </c>
      <c r="C5" s="39" t="s">
        <v>516</v>
      </c>
      <c r="D5" s="39" t="s">
        <v>471</v>
      </c>
      <c r="E5" s="42" t="s">
        <v>402</v>
      </c>
      <c r="F5" s="39" t="str">
        <f>Отчет!$C$4</f>
        <v>МБОУ СОШ № 153</v>
      </c>
      <c r="G5" s="176">
        <v>10</v>
      </c>
      <c r="H5" s="270">
        <f t="shared" si="0"/>
        <v>10</v>
      </c>
      <c r="I5" s="39"/>
      <c r="J5" s="39" t="s">
        <v>126</v>
      </c>
      <c r="K5" s="165">
        <v>13</v>
      </c>
      <c r="L5" s="39">
        <v>57</v>
      </c>
      <c r="M5" s="52">
        <f t="shared" si="1"/>
        <v>0.22807017543859648</v>
      </c>
      <c r="N5" s="39" t="s">
        <v>58</v>
      </c>
      <c r="O5" s="39" t="s">
        <v>76</v>
      </c>
      <c r="P5" s="21" t="s">
        <v>18</v>
      </c>
      <c r="Q5" s="134">
        <f t="shared" si="2"/>
      </c>
      <c r="R5" s="271">
        <f>Отчет!$Q$4</f>
        <v>937015</v>
      </c>
    </row>
    <row r="6" spans="1:18" ht="12.75">
      <c r="A6" s="199">
        <v>5</v>
      </c>
      <c r="B6" s="21" t="s">
        <v>519</v>
      </c>
      <c r="C6" s="39" t="s">
        <v>520</v>
      </c>
      <c r="D6" s="39" t="s">
        <v>471</v>
      </c>
      <c r="E6" s="42" t="s">
        <v>402</v>
      </c>
      <c r="F6" s="39" t="str">
        <f>Отчет!$C$4</f>
        <v>МБОУ СОШ № 153</v>
      </c>
      <c r="G6" s="176">
        <v>10</v>
      </c>
      <c r="H6" s="270">
        <f t="shared" si="0"/>
        <v>10</v>
      </c>
      <c r="I6" s="39"/>
      <c r="J6" s="39" t="s">
        <v>126</v>
      </c>
      <c r="K6" s="165">
        <v>10</v>
      </c>
      <c r="L6" s="39">
        <v>57</v>
      </c>
      <c r="M6" s="52">
        <f t="shared" si="1"/>
        <v>0.17543859649122806</v>
      </c>
      <c r="N6" s="39" t="s">
        <v>58</v>
      </c>
      <c r="O6" s="39" t="s">
        <v>76</v>
      </c>
      <c r="P6" s="21" t="s">
        <v>18</v>
      </c>
      <c r="Q6" s="134">
        <f t="shared" si="2"/>
      </c>
      <c r="R6" s="271">
        <f>Отчет!$Q$4</f>
        <v>937015</v>
      </c>
    </row>
    <row r="7" spans="1:18" ht="12.75">
      <c r="A7" s="199">
        <v>6</v>
      </c>
      <c r="B7" s="21" t="s">
        <v>514</v>
      </c>
      <c r="C7" s="39" t="s">
        <v>452</v>
      </c>
      <c r="D7" s="39" t="s">
        <v>471</v>
      </c>
      <c r="E7" s="42" t="s">
        <v>402</v>
      </c>
      <c r="F7" s="39" t="str">
        <f>Отчет!$C$4</f>
        <v>МБОУ СОШ № 153</v>
      </c>
      <c r="G7" s="176">
        <v>10</v>
      </c>
      <c r="H7" s="270">
        <f t="shared" si="0"/>
        <v>10</v>
      </c>
      <c r="I7" s="39"/>
      <c r="J7" s="39" t="s">
        <v>126</v>
      </c>
      <c r="K7" s="165">
        <v>10</v>
      </c>
      <c r="L7" s="39">
        <v>57</v>
      </c>
      <c r="M7" s="52">
        <f t="shared" si="1"/>
        <v>0.17543859649122806</v>
      </c>
      <c r="N7" s="39" t="s">
        <v>58</v>
      </c>
      <c r="O7" s="39" t="s">
        <v>76</v>
      </c>
      <c r="P7" s="21" t="s">
        <v>18</v>
      </c>
      <c r="Q7" s="134">
        <f t="shared" si="2"/>
      </c>
      <c r="R7" s="271">
        <f>Отчет!$Q$4</f>
        <v>937015</v>
      </c>
    </row>
    <row r="8" spans="1:18" ht="12.75">
      <c r="A8" s="199">
        <v>7</v>
      </c>
      <c r="B8" s="21" t="s">
        <v>640</v>
      </c>
      <c r="C8" s="39" t="s">
        <v>385</v>
      </c>
      <c r="D8" s="39" t="s">
        <v>378</v>
      </c>
      <c r="E8" s="42" t="s">
        <v>392</v>
      </c>
      <c r="F8" s="39" t="str">
        <f>Отчет!$C$4</f>
        <v>МБОУ СОШ № 153</v>
      </c>
      <c r="G8" s="176">
        <v>11</v>
      </c>
      <c r="H8" s="270">
        <f t="shared" si="0"/>
        <v>11</v>
      </c>
      <c r="I8" s="39"/>
      <c r="J8" s="39" t="s">
        <v>126</v>
      </c>
      <c r="K8" s="165">
        <v>31.5</v>
      </c>
      <c r="L8" s="39">
        <v>53</v>
      </c>
      <c r="M8" s="52">
        <f t="shared" si="1"/>
        <v>0.5943396226415094</v>
      </c>
      <c r="N8" s="39" t="s">
        <v>58</v>
      </c>
      <c r="O8" s="39" t="s">
        <v>76</v>
      </c>
      <c r="P8" s="21" t="s">
        <v>18</v>
      </c>
      <c r="Q8" s="134">
        <f t="shared" si="2"/>
      </c>
      <c r="R8" s="271">
        <f>Отчет!$Q$4</f>
        <v>937015</v>
      </c>
    </row>
    <row r="9" spans="1:18" ht="12.75">
      <c r="A9" s="199">
        <v>8</v>
      </c>
      <c r="B9" s="21" t="s">
        <v>692</v>
      </c>
      <c r="C9" s="39" t="s">
        <v>693</v>
      </c>
      <c r="D9" s="39" t="s">
        <v>694</v>
      </c>
      <c r="E9" s="42" t="s">
        <v>392</v>
      </c>
      <c r="F9" s="39" t="str">
        <f>Отчет!$C$4</f>
        <v>МБОУ СОШ № 153</v>
      </c>
      <c r="G9" s="176">
        <v>11</v>
      </c>
      <c r="H9" s="270">
        <f t="shared" si="0"/>
        <v>11</v>
      </c>
      <c r="I9" s="39"/>
      <c r="J9" s="39" t="s">
        <v>126</v>
      </c>
      <c r="K9" s="165">
        <v>19.5</v>
      </c>
      <c r="L9" s="39">
        <v>53</v>
      </c>
      <c r="M9" s="52">
        <f t="shared" si="1"/>
        <v>0.36792452830188677</v>
      </c>
      <c r="N9" s="39" t="s">
        <v>58</v>
      </c>
      <c r="O9" s="39" t="s">
        <v>76</v>
      </c>
      <c r="P9" s="21" t="s">
        <v>18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/>
      <c r="G10" s="176"/>
      <c r="H10" s="270">
        <f t="shared" si="0"/>
        <v>0</v>
      </c>
      <c r="I10" s="39"/>
      <c r="J10" s="39"/>
      <c r="K10" s="165"/>
      <c r="L10" s="39"/>
      <c r="M10" s="52"/>
      <c r="N10" s="39"/>
      <c r="O10" s="39"/>
      <c r="P10" s="21"/>
      <c r="Q10" s="134">
        <f t="shared" si="2"/>
      </c>
      <c r="R10" s="271"/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0"/>
        <v>0</v>
      </c>
      <c r="I11" s="39"/>
      <c r="J11" s="39"/>
      <c r="K11" s="165"/>
      <c r="L11" s="39"/>
      <c r="M11" s="52"/>
      <c r="N11" s="39"/>
      <c r="O11" s="39"/>
      <c r="P11" s="21"/>
      <c r="Q11" s="134">
        <f t="shared" si="2"/>
      </c>
      <c r="R11" s="271"/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0"/>
        <v>0</v>
      </c>
      <c r="I12" s="39"/>
      <c r="J12" s="39"/>
      <c r="K12" s="165"/>
      <c r="L12" s="39"/>
      <c r="M12" s="52"/>
      <c r="N12" s="39"/>
      <c r="O12" s="39"/>
      <c r="P12" s="21"/>
      <c r="Q12" s="134">
        <f t="shared" si="2"/>
      </c>
      <c r="R12" s="271"/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0"/>
        <v>0</v>
      </c>
      <c r="I13" s="39"/>
      <c r="J13" s="39"/>
      <c r="K13" s="165"/>
      <c r="L13" s="39"/>
      <c r="M13" s="52"/>
      <c r="N13" s="39"/>
      <c r="O13" s="39"/>
      <c r="P13" s="21"/>
      <c r="Q13" s="134">
        <f t="shared" si="2"/>
      </c>
      <c r="R13" s="271"/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0"/>
        <v>0</v>
      </c>
      <c r="I14" s="39"/>
      <c r="J14" s="39"/>
      <c r="K14" s="165"/>
      <c r="L14" s="39"/>
      <c r="M14" s="52"/>
      <c r="N14" s="39"/>
      <c r="O14" s="39"/>
      <c r="P14" s="21"/>
      <c r="Q14" s="134">
        <f t="shared" si="2"/>
      </c>
      <c r="R14" s="271"/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0"/>
        <v>0</v>
      </c>
      <c r="I15" s="39"/>
      <c r="J15" s="39"/>
      <c r="K15" s="165"/>
      <c r="L15" s="39"/>
      <c r="M15" s="52"/>
      <c r="N15" s="39"/>
      <c r="O15" s="39"/>
      <c r="P15" s="21"/>
      <c r="Q15" s="134">
        <f t="shared" si="2"/>
      </c>
      <c r="R15" s="271"/>
    </row>
    <row r="16" spans="1:18" ht="12.75">
      <c r="A16" s="21"/>
      <c r="B16" s="39"/>
      <c r="C16" s="39"/>
      <c r="D16" s="39"/>
      <c r="E16" s="42"/>
      <c r="F16" s="39"/>
      <c r="G16" s="176"/>
      <c r="H16" s="270">
        <f t="shared" si="0"/>
        <v>0</v>
      </c>
      <c r="I16" s="12"/>
      <c r="J16" s="39"/>
      <c r="K16" s="5"/>
      <c r="L16" s="22"/>
      <c r="M16" s="52"/>
      <c r="N16" s="38"/>
      <c r="O16" s="39"/>
      <c r="P16" s="21"/>
      <c r="Q16" s="134">
        <f t="shared" si="2"/>
      </c>
      <c r="R16" s="271"/>
    </row>
    <row r="17" spans="1:18" ht="12.75">
      <c r="A17" s="21"/>
      <c r="B17" s="39"/>
      <c r="C17" s="39"/>
      <c r="D17" s="39"/>
      <c r="E17" s="42"/>
      <c r="F17" s="39"/>
      <c r="G17" s="176"/>
      <c r="H17" s="270">
        <f t="shared" si="0"/>
        <v>0</v>
      </c>
      <c r="I17" s="12"/>
      <c r="J17" s="39"/>
      <c r="K17" s="5"/>
      <c r="L17" s="22"/>
      <c r="M17" s="52"/>
      <c r="N17" s="38"/>
      <c r="O17" s="39"/>
      <c r="P17" s="21"/>
      <c r="Q17" s="134">
        <f t="shared" si="2"/>
      </c>
      <c r="R17" s="271"/>
    </row>
    <row r="18" spans="1:18" ht="12.75">
      <c r="A18" s="21"/>
      <c r="B18" s="39"/>
      <c r="C18" s="39"/>
      <c r="D18" s="39"/>
      <c r="E18" s="42"/>
      <c r="F18" s="39"/>
      <c r="G18" s="176"/>
      <c r="H18" s="270">
        <f t="shared" si="0"/>
        <v>0</v>
      </c>
      <c r="I18" s="12"/>
      <c r="J18" s="39"/>
      <c r="K18" s="5"/>
      <c r="L18" s="22"/>
      <c r="M18" s="52"/>
      <c r="N18" s="38"/>
      <c r="O18" s="39"/>
      <c r="P18" s="21"/>
      <c r="Q18" s="134">
        <f t="shared" si="2"/>
      </c>
      <c r="R18" s="271"/>
    </row>
    <row r="19" spans="1:18" ht="12.75">
      <c r="A19" s="105"/>
      <c r="B19" s="100"/>
      <c r="C19" s="100"/>
      <c r="D19" s="100"/>
      <c r="E19" s="104"/>
      <c r="F19" s="39"/>
      <c r="G19" s="176"/>
      <c r="H19" s="270">
        <f t="shared" si="0"/>
        <v>0</v>
      </c>
      <c r="I19" s="115"/>
      <c r="J19" s="100"/>
      <c r="K19" s="108"/>
      <c r="L19" s="107"/>
      <c r="M19" s="52"/>
      <c r="N19" s="111"/>
      <c r="O19" s="39"/>
      <c r="P19" s="105"/>
      <c r="Q19" s="134">
        <f t="shared" si="2"/>
      </c>
      <c r="R19" s="271"/>
    </row>
    <row r="20" spans="1:18" ht="12.75">
      <c r="A20" s="21"/>
      <c r="B20" s="39"/>
      <c r="C20" s="39"/>
      <c r="D20" s="39"/>
      <c r="E20" s="42"/>
      <c r="F20" s="39"/>
      <c r="G20" s="176"/>
      <c r="H20" s="270">
        <f t="shared" si="0"/>
        <v>0</v>
      </c>
      <c r="I20" s="199"/>
      <c r="J20" s="39"/>
      <c r="K20" s="163"/>
      <c r="L20" s="22"/>
      <c r="M20" s="52"/>
      <c r="N20" s="126"/>
      <c r="O20" s="39"/>
      <c r="P20" s="21"/>
      <c r="Q20" s="134">
        <f t="shared" si="2"/>
      </c>
      <c r="R20" s="271"/>
    </row>
    <row r="21" spans="1:16" ht="12.75">
      <c r="A21" s="25"/>
      <c r="B21" s="73"/>
      <c r="C21" s="73"/>
      <c r="D21" s="73"/>
      <c r="E21" s="73"/>
      <c r="F21" s="73"/>
      <c r="G21" s="120"/>
      <c r="H21" s="120"/>
      <c r="I21" s="75"/>
      <c r="J21" s="73"/>
      <c r="K21" s="49"/>
      <c r="L21" s="50"/>
      <c r="M21" s="123"/>
      <c r="N21" s="72"/>
      <c r="O21" s="164"/>
      <c r="P21" s="25"/>
    </row>
    <row r="22" spans="1:16" ht="12.75">
      <c r="A22" s="25"/>
      <c r="B22" s="73"/>
      <c r="C22" s="73"/>
      <c r="D22" s="73"/>
      <c r="E22" s="73"/>
      <c r="F22" s="73"/>
      <c r="G22" s="120"/>
      <c r="H22" s="120"/>
      <c r="I22" s="75"/>
      <c r="J22" s="73"/>
      <c r="K22" s="49"/>
      <c r="L22" s="50"/>
      <c r="M22" s="123"/>
      <c r="N22" s="72"/>
      <c r="O22" s="164"/>
      <c r="P22" s="25"/>
    </row>
    <row r="23" spans="1:16" ht="12.75">
      <c r="A23" s="25"/>
      <c r="B23" s="73"/>
      <c r="C23" s="73"/>
      <c r="D23" s="73"/>
      <c r="E23" s="73"/>
      <c r="F23" s="73"/>
      <c r="G23" s="120"/>
      <c r="H23" s="120"/>
      <c r="I23" s="75"/>
      <c r="J23" s="73"/>
      <c r="K23" s="49"/>
      <c r="L23" s="50"/>
      <c r="M23" s="123"/>
      <c r="N23" s="72"/>
      <c r="O23" s="164"/>
      <c r="P23" s="25"/>
    </row>
    <row r="24" spans="1:16" ht="12.75">
      <c r="A24" s="25"/>
      <c r="B24" s="73"/>
      <c r="C24" s="73"/>
      <c r="D24" s="73"/>
      <c r="E24" s="73"/>
      <c r="F24" s="73"/>
      <c r="G24" s="120"/>
      <c r="H24" s="120"/>
      <c r="I24" s="75"/>
      <c r="J24" s="73"/>
      <c r="K24" s="49"/>
      <c r="L24" s="50"/>
      <c r="M24" s="123"/>
      <c r="N24" s="72"/>
      <c r="O24" s="164"/>
      <c r="P24" s="25"/>
    </row>
    <row r="25" spans="1:16" ht="12.75">
      <c r="A25" s="25"/>
      <c r="B25" s="73"/>
      <c r="C25" s="73"/>
      <c r="D25" s="73"/>
      <c r="E25" s="73"/>
      <c r="F25" s="73"/>
      <c r="G25" s="120"/>
      <c r="H25" s="120"/>
      <c r="I25" s="75"/>
      <c r="J25" s="73"/>
      <c r="K25" s="49"/>
      <c r="L25" s="50"/>
      <c r="M25" s="123"/>
      <c r="N25" s="72"/>
      <c r="O25" s="164"/>
      <c r="P25" s="25"/>
    </row>
    <row r="26" spans="1:16" ht="12.75">
      <c r="A26" s="25"/>
      <c r="B26" s="73"/>
      <c r="C26" s="73"/>
      <c r="D26" s="73"/>
      <c r="E26" s="73"/>
      <c r="F26" s="73"/>
      <c r="G26" s="120"/>
      <c r="H26" s="120"/>
      <c r="I26" s="75"/>
      <c r="J26" s="73"/>
      <c r="K26" s="49"/>
      <c r="L26" s="50"/>
      <c r="M26" s="123"/>
      <c r="N26" s="72"/>
      <c r="O26" s="164"/>
      <c r="P26" s="25"/>
    </row>
    <row r="27" spans="1:16" ht="12.75">
      <c r="A27" s="25"/>
      <c r="B27" s="73"/>
      <c r="C27" s="73"/>
      <c r="D27" s="73"/>
      <c r="E27" s="73"/>
      <c r="F27" s="73"/>
      <c r="G27" s="120"/>
      <c r="H27" s="120"/>
      <c r="I27" s="75"/>
      <c r="J27" s="73"/>
      <c r="K27" s="49"/>
      <c r="L27" s="50"/>
      <c r="M27" s="123"/>
      <c r="N27" s="72"/>
      <c r="O27" s="164"/>
      <c r="P27" s="25"/>
    </row>
    <row r="28" spans="1:16" ht="12.75">
      <c r="A28" s="25"/>
      <c r="B28" s="73"/>
      <c r="C28" s="73"/>
      <c r="D28" s="73"/>
      <c r="E28" s="73"/>
      <c r="F28" s="73"/>
      <c r="G28" s="120"/>
      <c r="H28" s="120"/>
      <c r="I28" s="75"/>
      <c r="J28" s="73"/>
      <c r="K28" s="49"/>
      <c r="L28" s="50"/>
      <c r="M28" s="123"/>
      <c r="N28" s="72"/>
      <c r="O28" s="164"/>
      <c r="P28" s="25"/>
    </row>
    <row r="29" spans="1:16" ht="12.75">
      <c r="A29" s="25"/>
      <c r="B29" s="73"/>
      <c r="C29" s="73"/>
      <c r="D29" s="73"/>
      <c r="E29" s="73"/>
      <c r="F29" s="73"/>
      <c r="G29" s="120"/>
      <c r="H29" s="120"/>
      <c r="I29" s="75"/>
      <c r="J29" s="73"/>
      <c r="K29" s="49"/>
      <c r="L29" s="50"/>
      <c r="M29" s="123"/>
      <c r="N29" s="72"/>
      <c r="O29" s="164"/>
      <c r="P29" s="25"/>
    </row>
    <row r="30" spans="1:16" ht="12.75">
      <c r="A30" s="25"/>
      <c r="B30" s="73"/>
      <c r="C30" s="73"/>
      <c r="D30" s="73"/>
      <c r="E30" s="73"/>
      <c r="F30" s="73"/>
      <c r="G30" s="120"/>
      <c r="H30" s="120"/>
      <c r="I30" s="75"/>
      <c r="J30" s="73"/>
      <c r="K30" s="49"/>
      <c r="L30" s="50"/>
      <c r="M30" s="123"/>
      <c r="N30" s="72"/>
      <c r="O30" s="164"/>
      <c r="P30" s="25"/>
    </row>
    <row r="31" spans="1:16" ht="12.75">
      <c r="A31" s="25"/>
      <c r="B31" s="73"/>
      <c r="C31" s="73"/>
      <c r="D31" s="73"/>
      <c r="E31" s="73"/>
      <c r="F31" s="73"/>
      <c r="G31" s="120"/>
      <c r="H31" s="120"/>
      <c r="I31" s="75"/>
      <c r="J31" s="73"/>
      <c r="K31" s="49"/>
      <c r="L31" s="50"/>
      <c r="M31" s="123"/>
      <c r="N31" s="72"/>
      <c r="O31" s="164"/>
      <c r="P31" s="25"/>
    </row>
    <row r="32" spans="1:16" ht="12.75">
      <c r="A32" s="25"/>
      <c r="B32" s="73"/>
      <c r="C32" s="73"/>
      <c r="D32" s="73"/>
      <c r="E32" s="73"/>
      <c r="F32" s="73"/>
      <c r="G32" s="120"/>
      <c r="H32" s="120"/>
      <c r="I32" s="75"/>
      <c r="J32" s="73"/>
      <c r="K32" s="49"/>
      <c r="L32" s="50"/>
      <c r="M32" s="123"/>
      <c r="N32" s="72"/>
      <c r="O32" s="164"/>
      <c r="P32" s="25"/>
    </row>
    <row r="33" spans="1:16" ht="12.75">
      <c r="A33" s="25"/>
      <c r="B33" s="73"/>
      <c r="C33" s="73"/>
      <c r="D33" s="73"/>
      <c r="E33" s="73"/>
      <c r="F33" s="73"/>
      <c r="G33" s="120"/>
      <c r="H33" s="120"/>
      <c r="I33" s="75"/>
      <c r="J33" s="73"/>
      <c r="K33" s="49"/>
      <c r="L33" s="50"/>
      <c r="M33" s="123"/>
      <c r="N33" s="72"/>
      <c r="O33" s="164"/>
      <c r="P33" s="25"/>
    </row>
    <row r="34" spans="3:16" ht="12.75">
      <c r="C34" s="73"/>
      <c r="D34" s="73"/>
      <c r="E34" s="73"/>
      <c r="F34" s="73"/>
      <c r="G34" s="120"/>
      <c r="H34" s="120"/>
      <c r="I34" s="75"/>
      <c r="J34" s="73"/>
      <c r="K34" s="49"/>
      <c r="L34" s="50"/>
      <c r="M34" s="123"/>
      <c r="N34" s="72"/>
      <c r="O34" s="164"/>
      <c r="P34" s="25"/>
    </row>
    <row r="35" spans="3:16" ht="12.75">
      <c r="C35" s="73"/>
      <c r="D35" s="73"/>
      <c r="E35" s="73"/>
      <c r="F35" s="73"/>
      <c r="G35" s="120"/>
      <c r="H35" s="120"/>
      <c r="I35" s="75"/>
      <c r="J35" s="73"/>
      <c r="K35" s="49"/>
      <c r="L35" s="50"/>
      <c r="M35" s="123"/>
      <c r="N35" s="72"/>
      <c r="O35" s="164"/>
      <c r="P35" s="25"/>
    </row>
    <row r="36" spans="3:16" ht="12.75">
      <c r="C36" s="73"/>
      <c r="D36" s="73"/>
      <c r="E36" s="73"/>
      <c r="F36" s="73"/>
      <c r="G36" s="120"/>
      <c r="H36" s="120"/>
      <c r="I36" s="75"/>
      <c r="J36" s="73"/>
      <c r="K36" s="49"/>
      <c r="L36" s="50"/>
      <c r="M36" s="123"/>
      <c r="N36" s="72"/>
      <c r="O36" s="164"/>
      <c r="P36" s="25"/>
    </row>
    <row r="37" spans="3:16" ht="12.75">
      <c r="C37" s="73"/>
      <c r="D37" s="73"/>
      <c r="E37" s="73"/>
      <c r="F37" s="73"/>
      <c r="G37" s="120"/>
      <c r="H37" s="120"/>
      <c r="I37" s="75"/>
      <c r="J37" s="73"/>
      <c r="K37" s="49"/>
      <c r="L37" s="50"/>
      <c r="M37" s="123"/>
      <c r="N37" s="72"/>
      <c r="O37" s="164"/>
      <c r="P37" s="25"/>
    </row>
    <row r="38" spans="3:16" ht="12.75">
      <c r="C38" s="73"/>
      <c r="D38" s="73"/>
      <c r="E38" s="73"/>
      <c r="F38" s="73"/>
      <c r="G38" s="120"/>
      <c r="H38" s="120"/>
      <c r="I38" s="75"/>
      <c r="J38" s="73"/>
      <c r="K38" s="49"/>
      <c r="L38" s="50"/>
      <c r="M38" s="123"/>
      <c r="N38" s="72"/>
      <c r="O38" s="164"/>
      <c r="P38" s="25"/>
    </row>
    <row r="39" spans="3:16" ht="12.75">
      <c r="C39" s="73"/>
      <c r="D39" s="73"/>
      <c r="E39" s="73"/>
      <c r="F39" s="73"/>
      <c r="G39" s="120"/>
      <c r="H39" s="120"/>
      <c r="I39" s="75"/>
      <c r="J39" s="73"/>
      <c r="K39" s="49"/>
      <c r="L39" s="50"/>
      <c r="M39" s="123"/>
      <c r="N39" s="72"/>
      <c r="O39" s="164"/>
      <c r="P39" s="25"/>
    </row>
    <row r="40" spans="3:16" ht="12.75">
      <c r="C40" s="73"/>
      <c r="D40" s="73"/>
      <c r="E40" s="73"/>
      <c r="F40" s="73"/>
      <c r="G40" s="120"/>
      <c r="H40" s="120"/>
      <c r="I40" s="75"/>
      <c r="J40" s="73"/>
      <c r="K40" s="49"/>
      <c r="L40" s="50"/>
      <c r="M40" s="123"/>
      <c r="N40" s="72"/>
      <c r="O40" s="164"/>
      <c r="P40" s="25"/>
    </row>
    <row r="41" spans="3:16" ht="12.75">
      <c r="C41" s="73"/>
      <c r="D41" s="73"/>
      <c r="E41" s="73"/>
      <c r="F41" s="73"/>
      <c r="G41" s="120"/>
      <c r="H41" s="120"/>
      <c r="I41" s="75"/>
      <c r="J41" s="73"/>
      <c r="K41" s="49"/>
      <c r="L41" s="50"/>
      <c r="M41" s="123"/>
      <c r="N41" s="72"/>
      <c r="O41" s="164"/>
      <c r="P41" s="25"/>
    </row>
    <row r="42" spans="3:16" ht="12.75">
      <c r="C42" s="73"/>
      <c r="D42" s="73"/>
      <c r="E42" s="73"/>
      <c r="F42" s="73"/>
      <c r="G42" s="120"/>
      <c r="H42" s="120"/>
      <c r="I42" s="75"/>
      <c r="J42" s="73"/>
      <c r="K42" s="49"/>
      <c r="L42" s="50"/>
      <c r="M42" s="123"/>
      <c r="N42" s="72"/>
      <c r="O42" s="164"/>
      <c r="P42" s="25"/>
    </row>
    <row r="43" spans="3:16" ht="12.75">
      <c r="C43" s="73"/>
      <c r="D43" s="73"/>
      <c r="E43" s="73"/>
      <c r="F43" s="73"/>
      <c r="G43" s="120"/>
      <c r="H43" s="120"/>
      <c r="I43" s="75"/>
      <c r="J43" s="73"/>
      <c r="K43" s="49"/>
      <c r="L43" s="50"/>
      <c r="M43" s="123"/>
      <c r="N43" s="72"/>
      <c r="O43" s="164"/>
      <c r="P43" s="25"/>
    </row>
    <row r="44" spans="3:16" ht="12.75">
      <c r="C44" s="73"/>
      <c r="D44" s="73"/>
      <c r="E44" s="73"/>
      <c r="F44" s="73"/>
      <c r="G44" s="120"/>
      <c r="H44" s="120"/>
      <c r="I44" s="75"/>
      <c r="J44" s="73"/>
      <c r="K44" s="49"/>
      <c r="L44" s="50"/>
      <c r="M44" s="123"/>
      <c r="N44" s="72"/>
      <c r="O44" s="164"/>
      <c r="P44" s="25"/>
    </row>
    <row r="45" spans="3:16" ht="12.75">
      <c r="C45" s="73"/>
      <c r="D45" s="73"/>
      <c r="E45" s="73"/>
      <c r="F45" s="73"/>
      <c r="G45" s="120"/>
      <c r="H45" s="120"/>
      <c r="I45" s="75"/>
      <c r="J45" s="73"/>
      <c r="K45" s="49"/>
      <c r="L45" s="50"/>
      <c r="M45" s="123"/>
      <c r="N45" s="72"/>
      <c r="O45" s="164"/>
      <c r="P45" s="25"/>
    </row>
    <row r="46" spans="3:16" ht="12.75">
      <c r="C46" s="73"/>
      <c r="D46" s="73"/>
      <c r="E46" s="73"/>
      <c r="F46" s="73"/>
      <c r="G46" s="120"/>
      <c r="H46" s="120"/>
      <c r="I46" s="75"/>
      <c r="J46" s="73"/>
      <c r="K46" s="49"/>
      <c r="L46" s="50"/>
      <c r="M46" s="123"/>
      <c r="N46" s="72"/>
      <c r="O46" s="164"/>
      <c r="P46" s="25"/>
    </row>
    <row r="47" spans="3:16" ht="12.75">
      <c r="C47" s="73"/>
      <c r="D47" s="73"/>
      <c r="E47" s="73"/>
      <c r="F47" s="73"/>
      <c r="G47" s="120"/>
      <c r="H47" s="120"/>
      <c r="I47" s="75"/>
      <c r="J47" s="73"/>
      <c r="K47" s="49"/>
      <c r="L47" s="50"/>
      <c r="M47" s="123"/>
      <c r="N47" s="72"/>
      <c r="O47" s="164"/>
      <c r="P47" s="25"/>
    </row>
    <row r="48" spans="3:16" ht="12.75">
      <c r="C48" s="73"/>
      <c r="D48" s="73"/>
      <c r="E48" s="73"/>
      <c r="F48" s="73"/>
      <c r="G48" s="120"/>
      <c r="H48" s="120"/>
      <c r="I48" s="75"/>
      <c r="J48" s="73"/>
      <c r="K48" s="49"/>
      <c r="L48" s="50"/>
      <c r="M48" s="123"/>
      <c r="N48" s="72"/>
      <c r="O48" s="164"/>
      <c r="P48" s="25"/>
    </row>
    <row r="49" spans="3:16" ht="12.75">
      <c r="C49" s="73"/>
      <c r="D49" s="73"/>
      <c r="E49" s="73"/>
      <c r="F49" s="73"/>
      <c r="G49" s="120"/>
      <c r="H49" s="120"/>
      <c r="I49" s="75"/>
      <c r="J49" s="73"/>
      <c r="K49" s="49"/>
      <c r="L49" s="50"/>
      <c r="M49" s="123"/>
      <c r="N49" s="72"/>
      <c r="O49" s="164"/>
      <c r="P49" s="25"/>
    </row>
    <row r="50" spans="3:16" ht="12.75">
      <c r="C50" s="73"/>
      <c r="D50" s="73"/>
      <c r="E50" s="73"/>
      <c r="F50" s="73"/>
      <c r="G50" s="120"/>
      <c r="H50" s="120"/>
      <c r="I50" s="75"/>
      <c r="J50" s="73"/>
      <c r="K50" s="49"/>
      <c r="L50" s="50"/>
      <c r="M50" s="123"/>
      <c r="N50" s="72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selection activeCell="K59" sqref="K59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3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93" t="s">
        <v>0</v>
      </c>
      <c r="C1" s="93" t="s">
        <v>1</v>
      </c>
      <c r="D1" s="93" t="s">
        <v>2</v>
      </c>
      <c r="E1" s="15" t="s">
        <v>84</v>
      </c>
      <c r="F1" s="16" t="s">
        <v>97</v>
      </c>
      <c r="G1" s="93" t="s">
        <v>3</v>
      </c>
      <c r="H1" s="93" t="s">
        <v>105</v>
      </c>
      <c r="I1" s="15" t="s">
        <v>26</v>
      </c>
      <c r="J1" s="15" t="s">
        <v>124</v>
      </c>
      <c r="K1" s="93" t="s">
        <v>4</v>
      </c>
      <c r="L1" s="94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5">
        <f>IF(COUNTIF(Q1:Q1000,"Введите дату рождения")&lt;&gt;0,"1","")</f>
      </c>
    </row>
    <row r="2" spans="1:18" ht="12.75">
      <c r="A2" s="53">
        <v>1</v>
      </c>
      <c r="B2" s="21" t="s">
        <v>389</v>
      </c>
      <c r="C2" s="39" t="s">
        <v>390</v>
      </c>
      <c r="D2" s="39" t="s">
        <v>391</v>
      </c>
      <c r="E2" s="39" t="s">
        <v>392</v>
      </c>
      <c r="F2" s="39" t="s">
        <v>153</v>
      </c>
      <c r="G2" s="39">
        <v>4</v>
      </c>
      <c r="H2" s="270">
        <f aca="true" t="shared" si="0" ref="H2:H38">G2</f>
        <v>4</v>
      </c>
      <c r="I2" s="39"/>
      <c r="J2" s="39" t="s">
        <v>126</v>
      </c>
      <c r="K2" s="165">
        <v>59.5</v>
      </c>
      <c r="L2" s="39">
        <v>72</v>
      </c>
      <c r="M2" s="4">
        <f aca="true" t="shared" si="1" ref="M2:M38">K2/L2</f>
        <v>0.8263888888888888</v>
      </c>
      <c r="N2" s="39" t="s">
        <v>49</v>
      </c>
      <c r="O2" s="39" t="s">
        <v>76</v>
      </c>
      <c r="P2" s="21" t="s">
        <v>9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53">
        <v>2</v>
      </c>
      <c r="B3" s="21" t="s">
        <v>393</v>
      </c>
      <c r="C3" s="39" t="s">
        <v>394</v>
      </c>
      <c r="D3" s="39" t="s">
        <v>395</v>
      </c>
      <c r="E3" s="39" t="s">
        <v>392</v>
      </c>
      <c r="F3" s="39" t="s">
        <v>153</v>
      </c>
      <c r="G3" s="39">
        <v>4</v>
      </c>
      <c r="H3" s="270">
        <f t="shared" si="0"/>
        <v>4</v>
      </c>
      <c r="I3" s="39"/>
      <c r="J3" s="39" t="s">
        <v>126</v>
      </c>
      <c r="K3" s="165">
        <v>53</v>
      </c>
      <c r="L3" s="39">
        <v>72</v>
      </c>
      <c r="M3" s="4">
        <f t="shared" si="1"/>
        <v>0.7361111111111112</v>
      </c>
      <c r="N3" s="39" t="s">
        <v>50</v>
      </c>
      <c r="O3" s="39" t="s">
        <v>76</v>
      </c>
      <c r="P3" s="21" t="s">
        <v>9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>
      <c r="A4" s="53">
        <v>3</v>
      </c>
      <c r="B4" s="21" t="s">
        <v>396</v>
      </c>
      <c r="C4" s="39" t="s">
        <v>397</v>
      </c>
      <c r="D4" s="39" t="s">
        <v>398</v>
      </c>
      <c r="E4" s="39" t="s">
        <v>392</v>
      </c>
      <c r="F4" s="39" t="s">
        <v>153</v>
      </c>
      <c r="G4" s="39">
        <v>4</v>
      </c>
      <c r="H4" s="270">
        <f t="shared" si="0"/>
        <v>4</v>
      </c>
      <c r="I4" s="39"/>
      <c r="J4" s="39" t="s">
        <v>126</v>
      </c>
      <c r="K4" s="165">
        <v>53</v>
      </c>
      <c r="L4" s="39">
        <v>72</v>
      </c>
      <c r="M4" s="4">
        <f t="shared" si="1"/>
        <v>0.7361111111111112</v>
      </c>
      <c r="N4" s="39" t="s">
        <v>50</v>
      </c>
      <c r="O4" s="39" t="s">
        <v>76</v>
      </c>
      <c r="P4" s="21" t="s">
        <v>9</v>
      </c>
      <c r="Q4" s="134">
        <f t="shared" si="2"/>
      </c>
      <c r="R4" s="271">
        <f>Отчет!$Q$4</f>
        <v>937015</v>
      </c>
    </row>
    <row r="5" spans="1:18" ht="12.75">
      <c r="A5" s="53">
        <v>4</v>
      </c>
      <c r="B5" s="21" t="s">
        <v>399</v>
      </c>
      <c r="C5" s="39" t="s">
        <v>400</v>
      </c>
      <c r="D5" s="39" t="s">
        <v>401</v>
      </c>
      <c r="E5" s="39" t="s">
        <v>402</v>
      </c>
      <c r="F5" s="39" t="s">
        <v>153</v>
      </c>
      <c r="G5" s="39">
        <v>4</v>
      </c>
      <c r="H5" s="270">
        <f t="shared" si="0"/>
        <v>4</v>
      </c>
      <c r="I5" s="39"/>
      <c r="J5" s="39" t="s">
        <v>126</v>
      </c>
      <c r="K5" s="165">
        <v>53</v>
      </c>
      <c r="L5" s="39">
        <v>72</v>
      </c>
      <c r="M5" s="4">
        <f t="shared" si="1"/>
        <v>0.7361111111111112</v>
      </c>
      <c r="N5" s="39" t="s">
        <v>50</v>
      </c>
      <c r="O5" s="39" t="s">
        <v>76</v>
      </c>
      <c r="P5" s="21" t="s">
        <v>9</v>
      </c>
      <c r="Q5" s="134">
        <f t="shared" si="2"/>
      </c>
      <c r="R5" s="271">
        <f>Отчет!$Q$4</f>
        <v>937015</v>
      </c>
    </row>
    <row r="6" spans="1:18" ht="12.75">
      <c r="A6" s="53">
        <v>5</v>
      </c>
      <c r="B6" s="21" t="s">
        <v>403</v>
      </c>
      <c r="C6" s="39" t="s">
        <v>404</v>
      </c>
      <c r="D6" s="39" t="s">
        <v>405</v>
      </c>
      <c r="E6" s="39" t="s">
        <v>392</v>
      </c>
      <c r="F6" s="39" t="s">
        <v>153</v>
      </c>
      <c r="G6" s="39">
        <v>4</v>
      </c>
      <c r="H6" s="270">
        <f t="shared" si="0"/>
        <v>4</v>
      </c>
      <c r="I6" s="39"/>
      <c r="J6" s="39" t="s">
        <v>126</v>
      </c>
      <c r="K6" s="165">
        <v>51</v>
      </c>
      <c r="L6" s="39">
        <v>72</v>
      </c>
      <c r="M6" s="4">
        <f t="shared" si="1"/>
        <v>0.7083333333333334</v>
      </c>
      <c r="N6" s="39" t="s">
        <v>58</v>
      </c>
      <c r="O6" s="39" t="s">
        <v>76</v>
      </c>
      <c r="P6" s="21" t="s">
        <v>9</v>
      </c>
      <c r="Q6" s="134">
        <f t="shared" si="2"/>
      </c>
      <c r="R6" s="271">
        <f>Отчет!$Q$4</f>
        <v>937015</v>
      </c>
    </row>
    <row r="7" spans="1:18" ht="12.75">
      <c r="A7" s="53">
        <v>6</v>
      </c>
      <c r="B7" s="95" t="s">
        <v>406</v>
      </c>
      <c r="C7" s="95" t="s">
        <v>400</v>
      </c>
      <c r="D7" s="95" t="s">
        <v>407</v>
      </c>
      <c r="E7" s="304" t="s">
        <v>402</v>
      </c>
      <c r="F7" s="39" t="s">
        <v>153</v>
      </c>
      <c r="G7" s="39">
        <v>4</v>
      </c>
      <c r="H7" s="270">
        <f t="shared" si="0"/>
        <v>4</v>
      </c>
      <c r="I7" s="39"/>
      <c r="J7" s="39" t="s">
        <v>126</v>
      </c>
      <c r="K7" s="306">
        <v>49</v>
      </c>
      <c r="L7" s="306">
        <v>72</v>
      </c>
      <c r="M7" s="4">
        <f t="shared" si="1"/>
        <v>0.6805555555555556</v>
      </c>
      <c r="N7" s="39" t="s">
        <v>58</v>
      </c>
      <c r="O7" s="39" t="s">
        <v>76</v>
      </c>
      <c r="P7" s="21" t="s">
        <v>9</v>
      </c>
      <c r="Q7" s="134">
        <f t="shared" si="2"/>
      </c>
      <c r="R7" s="271">
        <f>Отчет!$Q$4</f>
        <v>937015</v>
      </c>
    </row>
    <row r="8" spans="1:18" ht="12.75">
      <c r="A8" s="53">
        <v>7</v>
      </c>
      <c r="B8" s="95" t="s">
        <v>408</v>
      </c>
      <c r="C8" s="95" t="s">
        <v>409</v>
      </c>
      <c r="D8" s="95" t="s">
        <v>401</v>
      </c>
      <c r="E8" s="304" t="s">
        <v>402</v>
      </c>
      <c r="F8" s="39" t="s">
        <v>153</v>
      </c>
      <c r="G8" s="39">
        <v>4</v>
      </c>
      <c r="H8" s="270">
        <f t="shared" si="0"/>
        <v>4</v>
      </c>
      <c r="I8" s="39"/>
      <c r="J8" s="39" t="s">
        <v>126</v>
      </c>
      <c r="K8" s="306">
        <v>49</v>
      </c>
      <c r="L8" s="306">
        <v>72</v>
      </c>
      <c r="M8" s="4">
        <f t="shared" si="1"/>
        <v>0.6805555555555556</v>
      </c>
      <c r="N8" s="39" t="s">
        <v>58</v>
      </c>
      <c r="O8" s="39" t="s">
        <v>76</v>
      </c>
      <c r="P8" s="21" t="s">
        <v>9</v>
      </c>
      <c r="Q8" s="134">
        <f t="shared" si="2"/>
      </c>
      <c r="R8" s="271">
        <f>Отчет!$Q$4</f>
        <v>937015</v>
      </c>
    </row>
    <row r="9" spans="1:18" ht="12.75">
      <c r="A9" s="53">
        <v>8</v>
      </c>
      <c r="B9" s="95" t="s">
        <v>410</v>
      </c>
      <c r="C9" s="95" t="s">
        <v>390</v>
      </c>
      <c r="D9" s="95" t="s">
        <v>411</v>
      </c>
      <c r="E9" s="304" t="s">
        <v>392</v>
      </c>
      <c r="F9" s="39" t="s">
        <v>153</v>
      </c>
      <c r="G9" s="39">
        <v>4</v>
      </c>
      <c r="H9" s="270">
        <f t="shared" si="0"/>
        <v>4</v>
      </c>
      <c r="I9" s="39"/>
      <c r="J9" s="39" t="s">
        <v>126</v>
      </c>
      <c r="K9" s="306">
        <v>48</v>
      </c>
      <c r="L9" s="306">
        <v>72</v>
      </c>
      <c r="M9" s="4">
        <f t="shared" si="1"/>
        <v>0.6666666666666666</v>
      </c>
      <c r="N9" s="39" t="s">
        <v>58</v>
      </c>
      <c r="O9" s="39" t="s">
        <v>76</v>
      </c>
      <c r="P9" s="21" t="s">
        <v>9</v>
      </c>
      <c r="Q9" s="134">
        <f t="shared" si="2"/>
      </c>
      <c r="R9" s="271">
        <f>Отчет!$Q$4</f>
        <v>937015</v>
      </c>
    </row>
    <row r="10" spans="1:18" ht="12.75">
      <c r="A10" s="53">
        <v>9</v>
      </c>
      <c r="B10" s="95" t="s">
        <v>412</v>
      </c>
      <c r="C10" s="95" t="s">
        <v>413</v>
      </c>
      <c r="D10" s="95" t="s">
        <v>414</v>
      </c>
      <c r="E10" s="304" t="s">
        <v>402</v>
      </c>
      <c r="F10" s="39" t="s">
        <v>153</v>
      </c>
      <c r="G10" s="39">
        <v>4</v>
      </c>
      <c r="H10" s="270">
        <f t="shared" si="0"/>
        <v>4</v>
      </c>
      <c r="I10" s="39"/>
      <c r="J10" s="39" t="s">
        <v>126</v>
      </c>
      <c r="K10" s="306">
        <v>45.5</v>
      </c>
      <c r="L10" s="306">
        <v>72</v>
      </c>
      <c r="M10" s="4">
        <f t="shared" si="1"/>
        <v>0.6319444444444444</v>
      </c>
      <c r="N10" s="39" t="s">
        <v>58</v>
      </c>
      <c r="O10" s="39" t="s">
        <v>76</v>
      </c>
      <c r="P10" s="21" t="s">
        <v>9</v>
      </c>
      <c r="Q10" s="134">
        <f t="shared" si="2"/>
      </c>
      <c r="R10" s="271">
        <f>Отчет!$Q$4</f>
        <v>937015</v>
      </c>
    </row>
    <row r="11" spans="1:18" ht="12.75">
      <c r="A11" s="53">
        <v>10</v>
      </c>
      <c r="B11" s="95" t="s">
        <v>415</v>
      </c>
      <c r="C11" s="95" t="s">
        <v>416</v>
      </c>
      <c r="D11" s="95" t="s">
        <v>417</v>
      </c>
      <c r="E11" s="304" t="s">
        <v>402</v>
      </c>
      <c r="F11" s="39" t="s">
        <v>153</v>
      </c>
      <c r="G11" s="39">
        <v>4</v>
      </c>
      <c r="H11" s="270">
        <f t="shared" si="0"/>
        <v>4</v>
      </c>
      <c r="I11" s="39"/>
      <c r="J11" s="39" t="s">
        <v>126</v>
      </c>
      <c r="K11" s="306">
        <v>44</v>
      </c>
      <c r="L11" s="306">
        <v>72</v>
      </c>
      <c r="M11" s="4">
        <f t="shared" si="1"/>
        <v>0.6111111111111112</v>
      </c>
      <c r="N11" s="39" t="s">
        <v>58</v>
      </c>
      <c r="O11" s="39" t="s">
        <v>76</v>
      </c>
      <c r="P11" s="21" t="s">
        <v>9</v>
      </c>
      <c r="Q11" s="134">
        <f t="shared" si="2"/>
      </c>
      <c r="R11" s="271">
        <f>Отчет!$Q$4</f>
        <v>937015</v>
      </c>
    </row>
    <row r="12" spans="1:18" ht="12.75">
      <c r="A12" s="53">
        <v>11</v>
      </c>
      <c r="B12" s="95" t="s">
        <v>418</v>
      </c>
      <c r="C12" s="95" t="s">
        <v>419</v>
      </c>
      <c r="D12" s="95" t="s">
        <v>391</v>
      </c>
      <c r="E12" s="304" t="s">
        <v>392</v>
      </c>
      <c r="F12" s="39" t="s">
        <v>153</v>
      </c>
      <c r="G12" s="39">
        <v>4</v>
      </c>
      <c r="H12" s="270">
        <f t="shared" si="0"/>
        <v>4</v>
      </c>
      <c r="I12" s="39"/>
      <c r="J12" s="39" t="s">
        <v>126</v>
      </c>
      <c r="K12" s="306">
        <v>43.5</v>
      </c>
      <c r="L12" s="306">
        <v>72</v>
      </c>
      <c r="M12" s="4">
        <f t="shared" si="1"/>
        <v>0.6041666666666666</v>
      </c>
      <c r="N12" s="39" t="s">
        <v>58</v>
      </c>
      <c r="O12" s="39" t="s">
        <v>76</v>
      </c>
      <c r="P12" s="21" t="s">
        <v>9</v>
      </c>
      <c r="Q12" s="134">
        <f t="shared" si="2"/>
      </c>
      <c r="R12" s="271">
        <f>Отчет!$Q$4</f>
        <v>937015</v>
      </c>
    </row>
    <row r="13" spans="1:18" ht="12.75">
      <c r="A13" s="53">
        <v>12</v>
      </c>
      <c r="B13" s="95" t="s">
        <v>420</v>
      </c>
      <c r="C13" s="95" t="s">
        <v>421</v>
      </c>
      <c r="D13" s="95" t="s">
        <v>422</v>
      </c>
      <c r="E13" s="304" t="s">
        <v>402</v>
      </c>
      <c r="F13" s="39" t="s">
        <v>153</v>
      </c>
      <c r="G13" s="39">
        <v>4</v>
      </c>
      <c r="H13" s="270">
        <f t="shared" si="0"/>
        <v>4</v>
      </c>
      <c r="I13" s="39"/>
      <c r="J13" s="39" t="s">
        <v>126</v>
      </c>
      <c r="K13" s="306">
        <v>41.5</v>
      </c>
      <c r="L13" s="306">
        <v>72</v>
      </c>
      <c r="M13" s="4">
        <f t="shared" si="1"/>
        <v>0.5763888888888888</v>
      </c>
      <c r="N13" s="39" t="s">
        <v>58</v>
      </c>
      <c r="O13" s="39" t="s">
        <v>76</v>
      </c>
      <c r="P13" s="21" t="s">
        <v>9</v>
      </c>
      <c r="Q13" s="134">
        <f t="shared" si="2"/>
      </c>
      <c r="R13" s="271">
        <f>Отчет!$Q$4</f>
        <v>937015</v>
      </c>
    </row>
    <row r="14" spans="1:18" ht="12.75">
      <c r="A14" s="53">
        <v>13</v>
      </c>
      <c r="B14" s="95" t="s">
        <v>423</v>
      </c>
      <c r="C14" s="95" t="s">
        <v>424</v>
      </c>
      <c r="D14" s="95" t="s">
        <v>391</v>
      </c>
      <c r="E14" s="304" t="s">
        <v>392</v>
      </c>
      <c r="F14" s="39" t="s">
        <v>153</v>
      </c>
      <c r="G14" s="39">
        <v>4</v>
      </c>
      <c r="H14" s="270">
        <f t="shared" si="0"/>
        <v>4</v>
      </c>
      <c r="I14" s="39"/>
      <c r="J14" s="39" t="s">
        <v>126</v>
      </c>
      <c r="K14" s="306">
        <v>40.5</v>
      </c>
      <c r="L14" s="306">
        <v>72</v>
      </c>
      <c r="M14" s="4">
        <f t="shared" si="1"/>
        <v>0.5625</v>
      </c>
      <c r="N14" s="39" t="s">
        <v>58</v>
      </c>
      <c r="O14" s="39" t="s">
        <v>76</v>
      </c>
      <c r="P14" s="21" t="s">
        <v>9</v>
      </c>
      <c r="Q14" s="134">
        <f t="shared" si="2"/>
      </c>
      <c r="R14" s="271">
        <f>Отчет!$Q$4</f>
        <v>937015</v>
      </c>
    </row>
    <row r="15" spans="1:18" ht="12.75">
      <c r="A15" s="53">
        <v>14</v>
      </c>
      <c r="B15" s="95" t="s">
        <v>425</v>
      </c>
      <c r="C15" s="95" t="s">
        <v>413</v>
      </c>
      <c r="D15" s="95" t="s">
        <v>426</v>
      </c>
      <c r="E15" s="304" t="s">
        <v>402</v>
      </c>
      <c r="F15" s="39" t="s">
        <v>153</v>
      </c>
      <c r="G15" s="39">
        <v>4</v>
      </c>
      <c r="H15" s="270">
        <f t="shared" si="0"/>
        <v>4</v>
      </c>
      <c r="I15" s="39"/>
      <c r="J15" s="39" t="s">
        <v>126</v>
      </c>
      <c r="K15" s="306">
        <v>40</v>
      </c>
      <c r="L15" s="306">
        <v>72</v>
      </c>
      <c r="M15" s="4">
        <f t="shared" si="1"/>
        <v>0.5555555555555556</v>
      </c>
      <c r="N15" s="39" t="s">
        <v>58</v>
      </c>
      <c r="O15" s="39" t="s">
        <v>76</v>
      </c>
      <c r="P15" s="21" t="s">
        <v>9</v>
      </c>
      <c r="Q15" s="134">
        <f t="shared" si="2"/>
      </c>
      <c r="R15" s="271">
        <f>Отчет!$Q$4</f>
        <v>937015</v>
      </c>
    </row>
    <row r="16" spans="1:18" ht="12.75">
      <c r="A16" s="53">
        <v>15</v>
      </c>
      <c r="B16" s="95" t="s">
        <v>427</v>
      </c>
      <c r="C16" s="95" t="s">
        <v>428</v>
      </c>
      <c r="D16" s="95" t="s">
        <v>374</v>
      </c>
      <c r="E16" s="304" t="s">
        <v>392</v>
      </c>
      <c r="F16" s="39" t="s">
        <v>153</v>
      </c>
      <c r="G16" s="39">
        <v>4</v>
      </c>
      <c r="H16" s="270">
        <f t="shared" si="0"/>
        <v>4</v>
      </c>
      <c r="I16" s="5"/>
      <c r="J16" s="39" t="s">
        <v>126</v>
      </c>
      <c r="K16" s="306">
        <v>39.5</v>
      </c>
      <c r="L16" s="306">
        <v>72</v>
      </c>
      <c r="M16" s="4">
        <f t="shared" si="1"/>
        <v>0.5486111111111112</v>
      </c>
      <c r="N16" s="39" t="s">
        <v>58</v>
      </c>
      <c r="O16" s="39" t="s">
        <v>76</v>
      </c>
      <c r="P16" s="21" t="s">
        <v>9</v>
      </c>
      <c r="Q16" s="134">
        <f t="shared" si="2"/>
      </c>
      <c r="R16" s="271">
        <f>Отчет!$Q$4</f>
        <v>937015</v>
      </c>
    </row>
    <row r="17" spans="1:18" ht="12.75">
      <c r="A17" s="53">
        <v>16</v>
      </c>
      <c r="B17" s="95" t="s">
        <v>429</v>
      </c>
      <c r="C17" s="95" t="s">
        <v>430</v>
      </c>
      <c r="D17" s="95" t="s">
        <v>414</v>
      </c>
      <c r="E17" s="304" t="s">
        <v>402</v>
      </c>
      <c r="F17" s="39" t="s">
        <v>153</v>
      </c>
      <c r="G17" s="39">
        <v>4</v>
      </c>
      <c r="H17" s="270">
        <f t="shared" si="0"/>
        <v>4</v>
      </c>
      <c r="I17" s="5"/>
      <c r="J17" s="39" t="s">
        <v>126</v>
      </c>
      <c r="K17" s="306">
        <v>39.5</v>
      </c>
      <c r="L17" s="306">
        <v>72</v>
      </c>
      <c r="M17" s="4">
        <f t="shared" si="1"/>
        <v>0.5486111111111112</v>
      </c>
      <c r="N17" s="39" t="s">
        <v>58</v>
      </c>
      <c r="O17" s="39" t="s">
        <v>76</v>
      </c>
      <c r="P17" s="21" t="s">
        <v>9</v>
      </c>
      <c r="Q17" s="134">
        <f t="shared" si="2"/>
      </c>
      <c r="R17" s="271">
        <f>Отчет!$Q$4</f>
        <v>937015</v>
      </c>
    </row>
    <row r="18" spans="1:18" ht="12.75">
      <c r="A18" s="53">
        <v>17</v>
      </c>
      <c r="B18" s="95" t="s">
        <v>431</v>
      </c>
      <c r="C18" s="95" t="s">
        <v>432</v>
      </c>
      <c r="D18" s="95" t="s">
        <v>433</v>
      </c>
      <c r="E18" s="304" t="s">
        <v>392</v>
      </c>
      <c r="F18" s="39" t="s">
        <v>153</v>
      </c>
      <c r="G18" s="39">
        <v>4</v>
      </c>
      <c r="H18" s="270">
        <f t="shared" si="0"/>
        <v>4</v>
      </c>
      <c r="I18" s="5"/>
      <c r="J18" s="39" t="s">
        <v>126</v>
      </c>
      <c r="K18" s="306">
        <v>38</v>
      </c>
      <c r="L18" s="306">
        <v>72</v>
      </c>
      <c r="M18" s="4">
        <f t="shared" si="1"/>
        <v>0.5277777777777778</v>
      </c>
      <c r="N18" s="39" t="s">
        <v>58</v>
      </c>
      <c r="O18" s="39" t="s">
        <v>76</v>
      </c>
      <c r="P18" s="21" t="s">
        <v>9</v>
      </c>
      <c r="Q18" s="134">
        <f t="shared" si="2"/>
      </c>
      <c r="R18" s="271">
        <f>Отчет!$Q$4</f>
        <v>937015</v>
      </c>
    </row>
    <row r="19" spans="1:18" ht="12.75">
      <c r="A19" s="53">
        <v>18</v>
      </c>
      <c r="B19" s="95" t="s">
        <v>434</v>
      </c>
      <c r="C19" s="95" t="s">
        <v>424</v>
      </c>
      <c r="D19" s="95" t="s">
        <v>395</v>
      </c>
      <c r="E19" s="304" t="s">
        <v>392</v>
      </c>
      <c r="F19" s="39" t="s">
        <v>153</v>
      </c>
      <c r="G19" s="39">
        <v>4</v>
      </c>
      <c r="H19" s="270">
        <f t="shared" si="0"/>
        <v>4</v>
      </c>
      <c r="I19" s="5"/>
      <c r="J19" s="39" t="s">
        <v>126</v>
      </c>
      <c r="K19" s="306">
        <v>37</v>
      </c>
      <c r="L19" s="306">
        <v>72</v>
      </c>
      <c r="M19" s="4">
        <f t="shared" si="1"/>
        <v>0.5138888888888888</v>
      </c>
      <c r="N19" s="39" t="s">
        <v>58</v>
      </c>
      <c r="O19" s="39" t="s">
        <v>76</v>
      </c>
      <c r="P19" s="21" t="s">
        <v>9</v>
      </c>
      <c r="Q19" s="134">
        <f t="shared" si="2"/>
      </c>
      <c r="R19" s="271">
        <f>Отчет!$Q$4</f>
        <v>937015</v>
      </c>
    </row>
    <row r="20" spans="1:18" ht="12.75">
      <c r="A20" s="53">
        <v>19</v>
      </c>
      <c r="B20" s="95" t="s">
        <v>435</v>
      </c>
      <c r="C20" s="95" t="s">
        <v>436</v>
      </c>
      <c r="D20" s="95" t="s">
        <v>437</v>
      </c>
      <c r="E20" s="304" t="s">
        <v>402</v>
      </c>
      <c r="F20" s="39" t="s">
        <v>153</v>
      </c>
      <c r="G20" s="39">
        <v>4</v>
      </c>
      <c r="H20" s="270">
        <f t="shared" si="0"/>
        <v>4</v>
      </c>
      <c r="I20" s="5"/>
      <c r="J20" s="39" t="s">
        <v>126</v>
      </c>
      <c r="K20" s="306">
        <v>36.5</v>
      </c>
      <c r="L20" s="306">
        <v>72</v>
      </c>
      <c r="M20" s="4">
        <f t="shared" si="1"/>
        <v>0.5069444444444444</v>
      </c>
      <c r="N20" s="39" t="s">
        <v>58</v>
      </c>
      <c r="O20" s="39" t="s">
        <v>76</v>
      </c>
      <c r="P20" s="21" t="s">
        <v>9</v>
      </c>
      <c r="Q20" s="134">
        <f t="shared" si="2"/>
      </c>
      <c r="R20" s="271">
        <f>Отчет!$Q$4</f>
        <v>937015</v>
      </c>
    </row>
    <row r="21" spans="1:18" ht="12.75">
      <c r="A21" s="53">
        <v>20</v>
      </c>
      <c r="B21" s="95" t="s">
        <v>438</v>
      </c>
      <c r="C21" s="95" t="s">
        <v>439</v>
      </c>
      <c r="D21" s="95" t="s">
        <v>440</v>
      </c>
      <c r="E21" s="304" t="s">
        <v>392</v>
      </c>
      <c r="F21" s="39" t="s">
        <v>153</v>
      </c>
      <c r="G21" s="39">
        <v>4</v>
      </c>
      <c r="H21" s="270">
        <f t="shared" si="0"/>
        <v>4</v>
      </c>
      <c r="I21" s="5"/>
      <c r="J21" s="39" t="s">
        <v>126</v>
      </c>
      <c r="K21" s="306">
        <v>36</v>
      </c>
      <c r="L21" s="306">
        <v>72</v>
      </c>
      <c r="M21" s="4">
        <f t="shared" si="1"/>
        <v>0.5</v>
      </c>
      <c r="N21" s="39" t="s">
        <v>58</v>
      </c>
      <c r="O21" s="39" t="s">
        <v>76</v>
      </c>
      <c r="P21" s="21" t="s">
        <v>9</v>
      </c>
      <c r="Q21" s="21"/>
      <c r="R21" s="271">
        <f>Отчет!$Q$4</f>
        <v>937015</v>
      </c>
    </row>
    <row r="22" spans="1:18" ht="12.75">
      <c r="A22" s="53">
        <v>21</v>
      </c>
      <c r="B22" s="95" t="s">
        <v>441</v>
      </c>
      <c r="C22" s="95" t="s">
        <v>442</v>
      </c>
      <c r="D22" s="95" t="s">
        <v>443</v>
      </c>
      <c r="E22" s="304" t="s">
        <v>402</v>
      </c>
      <c r="F22" s="39" t="s">
        <v>153</v>
      </c>
      <c r="G22" s="39">
        <v>4</v>
      </c>
      <c r="H22" s="270">
        <f t="shared" si="0"/>
        <v>4</v>
      </c>
      <c r="I22" s="5"/>
      <c r="J22" s="39" t="s">
        <v>126</v>
      </c>
      <c r="K22" s="306">
        <v>35.5</v>
      </c>
      <c r="L22" s="306">
        <v>72</v>
      </c>
      <c r="M22" s="4">
        <f t="shared" si="1"/>
        <v>0.4930555555555556</v>
      </c>
      <c r="N22" s="39" t="s">
        <v>58</v>
      </c>
      <c r="O22" s="39" t="s">
        <v>76</v>
      </c>
      <c r="P22" s="21" t="s">
        <v>9</v>
      </c>
      <c r="Q22" s="21"/>
      <c r="R22" s="271">
        <f>Отчет!$Q$4</f>
        <v>937015</v>
      </c>
    </row>
    <row r="23" spans="1:18" ht="12.75">
      <c r="A23" s="53">
        <v>22</v>
      </c>
      <c r="B23" s="95" t="s">
        <v>444</v>
      </c>
      <c r="C23" s="95" t="s">
        <v>445</v>
      </c>
      <c r="D23" s="95" t="s">
        <v>401</v>
      </c>
      <c r="E23" s="304" t="s">
        <v>402</v>
      </c>
      <c r="F23" s="39" t="s">
        <v>153</v>
      </c>
      <c r="G23" s="39">
        <v>4</v>
      </c>
      <c r="H23" s="270">
        <f t="shared" si="0"/>
        <v>4</v>
      </c>
      <c r="I23" s="5"/>
      <c r="J23" s="39" t="s">
        <v>126</v>
      </c>
      <c r="K23" s="306">
        <v>33.5</v>
      </c>
      <c r="L23" s="306">
        <v>72</v>
      </c>
      <c r="M23" s="4">
        <f t="shared" si="1"/>
        <v>0.4652777777777778</v>
      </c>
      <c r="N23" s="39" t="s">
        <v>58</v>
      </c>
      <c r="O23" s="39" t="s">
        <v>76</v>
      </c>
      <c r="P23" s="21" t="s">
        <v>9</v>
      </c>
      <c r="Q23" s="21"/>
      <c r="R23" s="271">
        <f>Отчет!$Q$4</f>
        <v>937015</v>
      </c>
    </row>
    <row r="24" spans="1:18" ht="12.75">
      <c r="A24" s="53">
        <v>23</v>
      </c>
      <c r="B24" s="21" t="s">
        <v>446</v>
      </c>
      <c r="C24" s="39" t="s">
        <v>447</v>
      </c>
      <c r="D24" s="39" t="s">
        <v>448</v>
      </c>
      <c r="E24" s="39" t="s">
        <v>402</v>
      </c>
      <c r="F24" s="39" t="s">
        <v>153</v>
      </c>
      <c r="G24" s="39">
        <v>4</v>
      </c>
      <c r="H24" s="270">
        <f t="shared" si="0"/>
        <v>4</v>
      </c>
      <c r="I24" s="5"/>
      <c r="J24" s="39" t="s">
        <v>126</v>
      </c>
      <c r="K24" s="165">
        <v>32.5</v>
      </c>
      <c r="L24" s="39">
        <v>72</v>
      </c>
      <c r="M24" s="4">
        <f t="shared" si="1"/>
        <v>0.4513888888888889</v>
      </c>
      <c r="N24" s="39" t="s">
        <v>58</v>
      </c>
      <c r="O24" s="39" t="s">
        <v>76</v>
      </c>
      <c r="P24" s="21" t="s">
        <v>9</v>
      </c>
      <c r="Q24" s="21"/>
      <c r="R24" s="271">
        <f>Отчет!$Q$4</f>
        <v>937015</v>
      </c>
    </row>
    <row r="25" spans="1:18" ht="12.75">
      <c r="A25" s="53">
        <v>24</v>
      </c>
      <c r="B25" s="95" t="s">
        <v>449</v>
      </c>
      <c r="C25" s="95" t="s">
        <v>450</v>
      </c>
      <c r="D25" s="95" t="s">
        <v>417</v>
      </c>
      <c r="E25" s="304" t="s">
        <v>402</v>
      </c>
      <c r="F25" s="39" t="s">
        <v>153</v>
      </c>
      <c r="G25" s="39">
        <v>4</v>
      </c>
      <c r="H25" s="270">
        <f t="shared" si="0"/>
        <v>4</v>
      </c>
      <c r="I25" s="5"/>
      <c r="J25" s="39" t="s">
        <v>126</v>
      </c>
      <c r="K25" s="306">
        <v>30.5</v>
      </c>
      <c r="L25" s="306">
        <v>72</v>
      </c>
      <c r="M25" s="4">
        <f t="shared" si="1"/>
        <v>0.4236111111111111</v>
      </c>
      <c r="N25" s="39" t="s">
        <v>58</v>
      </c>
      <c r="O25" s="39" t="s">
        <v>76</v>
      </c>
      <c r="P25" s="21" t="s">
        <v>9</v>
      </c>
      <c r="Q25" s="21"/>
      <c r="R25" s="271">
        <f>Отчет!$Q$4</f>
        <v>937015</v>
      </c>
    </row>
    <row r="26" spans="1:18" ht="12.75">
      <c r="A26" s="53">
        <v>25</v>
      </c>
      <c r="B26" s="21" t="s">
        <v>451</v>
      </c>
      <c r="C26" s="39" t="s">
        <v>452</v>
      </c>
      <c r="D26" s="39" t="s">
        <v>453</v>
      </c>
      <c r="E26" s="39" t="s">
        <v>402</v>
      </c>
      <c r="F26" s="39" t="s">
        <v>153</v>
      </c>
      <c r="G26" s="39">
        <v>4</v>
      </c>
      <c r="H26" s="270">
        <f t="shared" si="0"/>
        <v>4</v>
      </c>
      <c r="I26" s="5"/>
      <c r="J26" s="39" t="s">
        <v>126</v>
      </c>
      <c r="K26" s="165">
        <v>28.1</v>
      </c>
      <c r="L26" s="39">
        <v>72</v>
      </c>
      <c r="M26" s="4">
        <f t="shared" si="1"/>
        <v>0.3902777777777778</v>
      </c>
      <c r="N26" s="39" t="s">
        <v>58</v>
      </c>
      <c r="O26" s="39" t="s">
        <v>76</v>
      </c>
      <c r="P26" s="21" t="s">
        <v>9</v>
      </c>
      <c r="Q26" s="21"/>
      <c r="R26" s="271">
        <f>Отчет!$Q$4</f>
        <v>937015</v>
      </c>
    </row>
    <row r="27" spans="1:18" ht="12.75">
      <c r="A27" s="53">
        <v>26</v>
      </c>
      <c r="B27" s="21" t="s">
        <v>454</v>
      </c>
      <c r="C27" s="39" t="s">
        <v>455</v>
      </c>
      <c r="D27" s="39" t="s">
        <v>456</v>
      </c>
      <c r="E27" s="39" t="s">
        <v>392</v>
      </c>
      <c r="F27" s="39" t="s">
        <v>153</v>
      </c>
      <c r="G27" s="39">
        <v>4</v>
      </c>
      <c r="H27" s="270">
        <f t="shared" si="0"/>
        <v>4</v>
      </c>
      <c r="I27" s="5"/>
      <c r="J27" s="39" t="s">
        <v>126</v>
      </c>
      <c r="K27" s="165">
        <v>26</v>
      </c>
      <c r="L27" s="39">
        <v>72</v>
      </c>
      <c r="M27" s="4">
        <f t="shared" si="1"/>
        <v>0.3611111111111111</v>
      </c>
      <c r="N27" s="39" t="s">
        <v>58</v>
      </c>
      <c r="O27" s="39" t="s">
        <v>76</v>
      </c>
      <c r="P27" s="21" t="s">
        <v>9</v>
      </c>
      <c r="Q27" s="21"/>
      <c r="R27" s="271">
        <f>Отчет!$Q$4</f>
        <v>937015</v>
      </c>
    </row>
    <row r="28" spans="1:18" ht="12.75">
      <c r="A28" s="53">
        <v>27</v>
      </c>
      <c r="B28" s="21" t="s">
        <v>457</v>
      </c>
      <c r="C28" s="39" t="s">
        <v>388</v>
      </c>
      <c r="D28" s="39" t="s">
        <v>378</v>
      </c>
      <c r="E28" s="39" t="s">
        <v>392</v>
      </c>
      <c r="F28" s="39" t="s">
        <v>153</v>
      </c>
      <c r="G28" s="39">
        <v>4</v>
      </c>
      <c r="H28" s="270">
        <f t="shared" si="0"/>
        <v>4</v>
      </c>
      <c r="I28" s="5"/>
      <c r="J28" s="39" t="s">
        <v>126</v>
      </c>
      <c r="K28" s="165">
        <v>25</v>
      </c>
      <c r="L28" s="39">
        <v>72</v>
      </c>
      <c r="M28" s="4">
        <f t="shared" si="1"/>
        <v>0.3472222222222222</v>
      </c>
      <c r="N28" s="39" t="s">
        <v>58</v>
      </c>
      <c r="O28" s="39" t="s">
        <v>76</v>
      </c>
      <c r="P28" s="21" t="s">
        <v>9</v>
      </c>
      <c r="Q28" s="21"/>
      <c r="R28" s="271">
        <f>Отчет!$Q$4</f>
        <v>937015</v>
      </c>
    </row>
    <row r="29" spans="1:18" ht="12.75">
      <c r="A29" s="53">
        <v>28</v>
      </c>
      <c r="B29" s="21" t="s">
        <v>458</v>
      </c>
      <c r="C29" s="39" t="s">
        <v>459</v>
      </c>
      <c r="D29" s="39" t="s">
        <v>460</v>
      </c>
      <c r="E29" s="39" t="s">
        <v>392</v>
      </c>
      <c r="F29" s="39" t="s">
        <v>153</v>
      </c>
      <c r="G29" s="39">
        <v>4</v>
      </c>
      <c r="H29" s="270">
        <f t="shared" si="0"/>
        <v>4</v>
      </c>
      <c r="I29" s="5"/>
      <c r="J29" s="39" t="s">
        <v>126</v>
      </c>
      <c r="K29" s="165">
        <v>24</v>
      </c>
      <c r="L29" s="39">
        <v>72</v>
      </c>
      <c r="M29" s="4">
        <f t="shared" si="1"/>
        <v>0.3333333333333333</v>
      </c>
      <c r="N29" s="39" t="s">
        <v>58</v>
      </c>
      <c r="O29" s="39" t="s">
        <v>76</v>
      </c>
      <c r="P29" s="21" t="s">
        <v>9</v>
      </c>
      <c r="Q29" s="21"/>
      <c r="R29" s="271">
        <f>Отчет!$Q$4</f>
        <v>937015</v>
      </c>
    </row>
    <row r="30" spans="1:18" ht="12.75">
      <c r="A30" s="53">
        <v>29</v>
      </c>
      <c r="B30" s="21" t="s">
        <v>461</v>
      </c>
      <c r="C30" s="39" t="s">
        <v>462</v>
      </c>
      <c r="D30" s="39" t="s">
        <v>463</v>
      </c>
      <c r="E30" s="39" t="s">
        <v>392</v>
      </c>
      <c r="F30" s="39" t="s">
        <v>153</v>
      </c>
      <c r="G30" s="39">
        <v>4</v>
      </c>
      <c r="H30" s="270">
        <f t="shared" si="0"/>
        <v>4</v>
      </c>
      <c r="I30" s="5"/>
      <c r="J30" s="39" t="s">
        <v>126</v>
      </c>
      <c r="K30" s="165">
        <v>22.5</v>
      </c>
      <c r="L30" s="39">
        <v>72</v>
      </c>
      <c r="M30" s="4">
        <f t="shared" si="1"/>
        <v>0.3125</v>
      </c>
      <c r="N30" s="39" t="s">
        <v>58</v>
      </c>
      <c r="O30" s="39" t="s">
        <v>76</v>
      </c>
      <c r="P30" s="21" t="s">
        <v>9</v>
      </c>
      <c r="Q30" s="21"/>
      <c r="R30" s="271">
        <f>Отчет!$Q$4</f>
        <v>937015</v>
      </c>
    </row>
    <row r="31" spans="1:18" ht="12.75">
      <c r="A31" s="53">
        <v>30</v>
      </c>
      <c r="B31" s="21" t="s">
        <v>464</v>
      </c>
      <c r="C31" s="39" t="s">
        <v>465</v>
      </c>
      <c r="D31" s="39" t="s">
        <v>422</v>
      </c>
      <c r="E31" s="39" t="s">
        <v>402</v>
      </c>
      <c r="F31" s="39" t="s">
        <v>153</v>
      </c>
      <c r="G31" s="39">
        <v>4</v>
      </c>
      <c r="H31" s="270">
        <f t="shared" si="0"/>
        <v>4</v>
      </c>
      <c r="I31" s="5"/>
      <c r="J31" s="39" t="s">
        <v>126</v>
      </c>
      <c r="K31" s="165">
        <v>22</v>
      </c>
      <c r="L31" s="39">
        <v>72</v>
      </c>
      <c r="M31" s="4">
        <f t="shared" si="1"/>
        <v>0.3055555555555556</v>
      </c>
      <c r="N31" s="39" t="s">
        <v>58</v>
      </c>
      <c r="O31" s="39" t="s">
        <v>76</v>
      </c>
      <c r="P31" s="21" t="s">
        <v>9</v>
      </c>
      <c r="Q31" s="21"/>
      <c r="R31" s="271">
        <f>Отчет!$Q$4</f>
        <v>937015</v>
      </c>
    </row>
    <row r="32" spans="1:18" ht="12.75">
      <c r="A32" s="53">
        <v>31</v>
      </c>
      <c r="B32" s="39" t="s">
        <v>466</v>
      </c>
      <c r="C32" s="39" t="s">
        <v>450</v>
      </c>
      <c r="D32" s="39" t="s">
        <v>467</v>
      </c>
      <c r="E32" s="39" t="s">
        <v>402</v>
      </c>
      <c r="F32" s="39" t="s">
        <v>153</v>
      </c>
      <c r="G32" s="39">
        <v>4</v>
      </c>
      <c r="H32" s="270">
        <f t="shared" si="0"/>
        <v>4</v>
      </c>
      <c r="I32" s="5"/>
      <c r="J32" s="39" t="s">
        <v>126</v>
      </c>
      <c r="K32" s="165">
        <v>20.5</v>
      </c>
      <c r="L32" s="39">
        <v>72</v>
      </c>
      <c r="M32" s="4">
        <f t="shared" si="1"/>
        <v>0.2847222222222222</v>
      </c>
      <c r="N32" s="39" t="s">
        <v>58</v>
      </c>
      <c r="O32" s="39" t="s">
        <v>76</v>
      </c>
      <c r="P32" s="21" t="s">
        <v>9</v>
      </c>
      <c r="Q32" s="21"/>
      <c r="R32" s="271">
        <f>Отчет!$Q$4</f>
        <v>937015</v>
      </c>
    </row>
    <row r="33" spans="1:18" ht="12.75">
      <c r="A33" s="53">
        <v>32</v>
      </c>
      <c r="B33" s="39" t="s">
        <v>468</v>
      </c>
      <c r="C33" s="39" t="s">
        <v>469</v>
      </c>
      <c r="D33" s="39" t="s">
        <v>470</v>
      </c>
      <c r="E33" s="39" t="s">
        <v>392</v>
      </c>
      <c r="F33" s="39" t="s">
        <v>153</v>
      </c>
      <c r="G33" s="39">
        <v>4</v>
      </c>
      <c r="H33" s="270">
        <f t="shared" si="0"/>
        <v>4</v>
      </c>
      <c r="I33" s="5"/>
      <c r="J33" s="39" t="s">
        <v>126</v>
      </c>
      <c r="K33" s="165">
        <v>17</v>
      </c>
      <c r="L33" s="39">
        <v>72</v>
      </c>
      <c r="M33" s="4">
        <f t="shared" si="1"/>
        <v>0.2361111111111111</v>
      </c>
      <c r="N33" s="39" t="s">
        <v>58</v>
      </c>
      <c r="O33" s="39" t="s">
        <v>76</v>
      </c>
      <c r="P33" s="21" t="s">
        <v>9</v>
      </c>
      <c r="Q33" s="21"/>
      <c r="R33" s="271">
        <f>Отчет!$Q$4</f>
        <v>937015</v>
      </c>
    </row>
    <row r="34" spans="1:18" ht="12.75">
      <c r="A34" s="53">
        <v>33</v>
      </c>
      <c r="B34" s="21" t="s">
        <v>521</v>
      </c>
      <c r="C34" s="95" t="s">
        <v>522</v>
      </c>
      <c r="D34" s="95" t="s">
        <v>643</v>
      </c>
      <c r="E34" s="304" t="s">
        <v>99</v>
      </c>
      <c r="F34" s="39" t="s">
        <v>153</v>
      </c>
      <c r="G34" s="306">
        <v>5</v>
      </c>
      <c r="H34" s="306">
        <f t="shared" si="0"/>
        <v>5</v>
      </c>
      <c r="I34" s="5"/>
      <c r="J34" s="39" t="s">
        <v>126</v>
      </c>
      <c r="K34" s="306">
        <v>32</v>
      </c>
      <c r="L34" s="306">
        <v>75</v>
      </c>
      <c r="M34" s="4">
        <f t="shared" si="1"/>
        <v>0.4266666666666667</v>
      </c>
      <c r="N34" s="39" t="s">
        <v>58</v>
      </c>
      <c r="O34" s="39" t="s">
        <v>76</v>
      </c>
      <c r="P34" s="21" t="s">
        <v>9</v>
      </c>
      <c r="Q34" s="21"/>
      <c r="R34" s="271">
        <f>Отчет!$Q$4</f>
        <v>937015</v>
      </c>
    </row>
    <row r="35" spans="1:18" ht="12.75">
      <c r="A35" s="53">
        <v>34</v>
      </c>
      <c r="B35" s="21" t="s">
        <v>523</v>
      </c>
      <c r="C35" s="95" t="s">
        <v>524</v>
      </c>
      <c r="D35" s="95" t="s">
        <v>437</v>
      </c>
      <c r="E35" s="304" t="s">
        <v>98</v>
      </c>
      <c r="F35" s="39" t="s">
        <v>153</v>
      </c>
      <c r="G35" s="306">
        <v>5</v>
      </c>
      <c r="H35" s="306">
        <f t="shared" si="0"/>
        <v>5</v>
      </c>
      <c r="I35" s="5"/>
      <c r="J35" s="39" t="s">
        <v>126</v>
      </c>
      <c r="K35" s="306">
        <v>30</v>
      </c>
      <c r="L35" s="306">
        <v>75</v>
      </c>
      <c r="M35" s="4">
        <f t="shared" si="1"/>
        <v>0.4</v>
      </c>
      <c r="N35" s="39" t="s">
        <v>58</v>
      </c>
      <c r="O35" s="39" t="s">
        <v>76</v>
      </c>
      <c r="P35" s="21" t="s">
        <v>9</v>
      </c>
      <c r="Q35" s="21"/>
      <c r="R35" s="271">
        <f>Отчет!$Q$4</f>
        <v>937015</v>
      </c>
    </row>
    <row r="36" spans="1:18" ht="12.75">
      <c r="A36" s="53">
        <v>35</v>
      </c>
      <c r="B36" s="21" t="s">
        <v>525</v>
      </c>
      <c r="C36" s="95" t="s">
        <v>413</v>
      </c>
      <c r="D36" s="95"/>
      <c r="E36" s="304" t="s">
        <v>98</v>
      </c>
      <c r="F36" s="39" t="s">
        <v>153</v>
      </c>
      <c r="G36" s="306">
        <v>5</v>
      </c>
      <c r="H36" s="306">
        <f t="shared" si="0"/>
        <v>5</v>
      </c>
      <c r="I36" s="5"/>
      <c r="J36" s="39" t="s">
        <v>126</v>
      </c>
      <c r="K36" s="306">
        <v>18</v>
      </c>
      <c r="L36" s="306">
        <v>75</v>
      </c>
      <c r="M36" s="4">
        <f t="shared" si="1"/>
        <v>0.24</v>
      </c>
      <c r="N36" s="39" t="s">
        <v>58</v>
      </c>
      <c r="O36" s="39" t="s">
        <v>76</v>
      </c>
      <c r="P36" s="21" t="s">
        <v>9</v>
      </c>
      <c r="Q36" s="21"/>
      <c r="R36" s="271">
        <f>Отчет!$Q$4</f>
        <v>937015</v>
      </c>
    </row>
    <row r="37" spans="1:18" ht="12.75">
      <c r="A37" s="53">
        <v>36</v>
      </c>
      <c r="B37" s="21" t="s">
        <v>528</v>
      </c>
      <c r="C37" s="95" t="s">
        <v>416</v>
      </c>
      <c r="D37" s="95" t="s">
        <v>443</v>
      </c>
      <c r="E37" s="304" t="s">
        <v>98</v>
      </c>
      <c r="F37" s="39" t="s">
        <v>153</v>
      </c>
      <c r="G37" s="306">
        <v>5</v>
      </c>
      <c r="H37" s="306">
        <f t="shared" si="0"/>
        <v>5</v>
      </c>
      <c r="I37" s="5"/>
      <c r="J37" s="39" t="s">
        <v>126</v>
      </c>
      <c r="K37" s="306">
        <v>18</v>
      </c>
      <c r="L37" s="306">
        <v>75</v>
      </c>
      <c r="M37" s="4">
        <f t="shared" si="1"/>
        <v>0.24</v>
      </c>
      <c r="N37" s="39" t="s">
        <v>58</v>
      </c>
      <c r="O37" s="39" t="s">
        <v>76</v>
      </c>
      <c r="P37" s="21" t="s">
        <v>9</v>
      </c>
      <c r="Q37" s="21"/>
      <c r="R37" s="271">
        <f>Отчет!$Q$4</f>
        <v>937015</v>
      </c>
    </row>
    <row r="38" spans="1:18" ht="12.75">
      <c r="A38" s="53">
        <v>37</v>
      </c>
      <c r="B38" s="21" t="s">
        <v>526</v>
      </c>
      <c r="C38" s="95" t="s">
        <v>527</v>
      </c>
      <c r="D38" s="95" t="s">
        <v>437</v>
      </c>
      <c r="E38" s="304" t="s">
        <v>98</v>
      </c>
      <c r="F38" s="39" t="s">
        <v>153</v>
      </c>
      <c r="G38" s="306">
        <v>5</v>
      </c>
      <c r="H38" s="306">
        <f t="shared" si="0"/>
        <v>5</v>
      </c>
      <c r="I38" s="5"/>
      <c r="J38" s="39" t="s">
        <v>126</v>
      </c>
      <c r="K38" s="306">
        <v>17</v>
      </c>
      <c r="L38" s="306">
        <v>75</v>
      </c>
      <c r="M38" s="4">
        <f t="shared" si="1"/>
        <v>0.22666666666666666</v>
      </c>
      <c r="N38" s="39" t="s">
        <v>58</v>
      </c>
      <c r="O38" s="39" t="s">
        <v>76</v>
      </c>
      <c r="P38" s="21" t="s">
        <v>9</v>
      </c>
      <c r="Q38" s="21"/>
      <c r="R38" s="271">
        <f>Отчет!$Q$4</f>
        <v>937015</v>
      </c>
    </row>
    <row r="39" spans="1:18" ht="12.75">
      <c r="A39" s="53">
        <v>38</v>
      </c>
      <c r="B39" s="39" t="s">
        <v>485</v>
      </c>
      <c r="C39" s="39" t="s">
        <v>419</v>
      </c>
      <c r="D39" s="39" t="s">
        <v>411</v>
      </c>
      <c r="E39" s="42" t="s">
        <v>99</v>
      </c>
      <c r="F39" s="39" t="s">
        <v>153</v>
      </c>
      <c r="G39" s="176">
        <v>6</v>
      </c>
      <c r="H39" s="270">
        <f aca="true" t="shared" si="3" ref="H39:H64">G39</f>
        <v>6</v>
      </c>
      <c r="I39" s="39"/>
      <c r="J39" s="39" t="s">
        <v>126</v>
      </c>
      <c r="K39" s="165">
        <v>40</v>
      </c>
      <c r="L39" s="39">
        <v>75</v>
      </c>
      <c r="M39" s="96">
        <f aca="true" t="shared" si="4" ref="M39:M45">K39/L39</f>
        <v>0.5333333333333333</v>
      </c>
      <c r="N39" s="39" t="s">
        <v>49</v>
      </c>
      <c r="O39" s="39" t="s">
        <v>76</v>
      </c>
      <c r="P39" s="21" t="s">
        <v>9</v>
      </c>
      <c r="Q39" s="21"/>
      <c r="R39" s="271">
        <f>Отчет!$Q$4</f>
        <v>937015</v>
      </c>
    </row>
    <row r="40" spans="1:18" ht="12.75">
      <c r="A40" s="53">
        <v>39</v>
      </c>
      <c r="B40" s="39" t="s">
        <v>484</v>
      </c>
      <c r="C40" s="39" t="s">
        <v>483</v>
      </c>
      <c r="D40" s="39" t="s">
        <v>482</v>
      </c>
      <c r="E40" s="42" t="s">
        <v>99</v>
      </c>
      <c r="F40" s="39" t="s">
        <v>153</v>
      </c>
      <c r="G40" s="176">
        <v>6</v>
      </c>
      <c r="H40" s="270">
        <f t="shared" si="3"/>
        <v>6</v>
      </c>
      <c r="I40" s="39"/>
      <c r="J40" s="39" t="s">
        <v>126</v>
      </c>
      <c r="K40" s="165">
        <v>38</v>
      </c>
      <c r="L40" s="39">
        <v>75</v>
      </c>
      <c r="M40" s="96">
        <f t="shared" si="4"/>
        <v>0.5066666666666667</v>
      </c>
      <c r="N40" s="39" t="s">
        <v>50</v>
      </c>
      <c r="O40" s="39" t="s">
        <v>76</v>
      </c>
      <c r="P40" s="21" t="s">
        <v>9</v>
      </c>
      <c r="Q40" s="21"/>
      <c r="R40" s="271">
        <f>Отчет!$Q$4</f>
        <v>937015</v>
      </c>
    </row>
    <row r="41" spans="1:18" ht="12.75">
      <c r="A41" s="53">
        <v>40</v>
      </c>
      <c r="B41" s="21" t="s">
        <v>481</v>
      </c>
      <c r="C41" s="39" t="s">
        <v>370</v>
      </c>
      <c r="D41" s="39" t="s">
        <v>480</v>
      </c>
      <c r="E41" s="42" t="s">
        <v>99</v>
      </c>
      <c r="F41" s="39" t="s">
        <v>153</v>
      </c>
      <c r="G41" s="176">
        <v>6</v>
      </c>
      <c r="H41" s="270">
        <f t="shared" si="3"/>
        <v>6</v>
      </c>
      <c r="I41" s="39"/>
      <c r="J41" s="39" t="s">
        <v>126</v>
      </c>
      <c r="K41" s="165">
        <v>19</v>
      </c>
      <c r="L41" s="39">
        <v>75</v>
      </c>
      <c r="M41" s="96">
        <f t="shared" si="4"/>
        <v>0.25333333333333335</v>
      </c>
      <c r="N41" s="39" t="s">
        <v>58</v>
      </c>
      <c r="O41" s="39" t="s">
        <v>76</v>
      </c>
      <c r="P41" s="21" t="s">
        <v>9</v>
      </c>
      <c r="Q41" s="21"/>
      <c r="R41" s="271">
        <f>Отчет!$Q$4</f>
        <v>937015</v>
      </c>
    </row>
    <row r="42" spans="1:18" ht="12.75">
      <c r="A42" s="53">
        <v>41</v>
      </c>
      <c r="B42" s="21" t="s">
        <v>479</v>
      </c>
      <c r="C42" s="39" t="s">
        <v>388</v>
      </c>
      <c r="D42" s="39" t="s">
        <v>371</v>
      </c>
      <c r="E42" s="42" t="s">
        <v>99</v>
      </c>
      <c r="F42" s="39" t="s">
        <v>153</v>
      </c>
      <c r="G42" s="176">
        <v>6</v>
      </c>
      <c r="H42" s="270">
        <f t="shared" si="3"/>
        <v>6</v>
      </c>
      <c r="I42" s="39"/>
      <c r="J42" s="39" t="s">
        <v>126</v>
      </c>
      <c r="K42" s="165">
        <v>18</v>
      </c>
      <c r="L42" s="39">
        <v>75</v>
      </c>
      <c r="M42" s="96">
        <f t="shared" si="4"/>
        <v>0.24</v>
      </c>
      <c r="N42" s="39" t="s">
        <v>58</v>
      </c>
      <c r="O42" s="39" t="s">
        <v>76</v>
      </c>
      <c r="P42" s="21" t="s">
        <v>9</v>
      </c>
      <c r="Q42" s="21"/>
      <c r="R42" s="271">
        <f>Отчет!$Q$4</f>
        <v>937015</v>
      </c>
    </row>
    <row r="43" spans="1:18" ht="12.75">
      <c r="A43" s="53">
        <v>42</v>
      </c>
      <c r="B43" s="21" t="s">
        <v>478</v>
      </c>
      <c r="C43" s="39" t="s">
        <v>469</v>
      </c>
      <c r="D43" s="39" t="s">
        <v>477</v>
      </c>
      <c r="E43" s="42" t="s">
        <v>99</v>
      </c>
      <c r="F43" s="39" t="s">
        <v>153</v>
      </c>
      <c r="G43" s="176">
        <v>6</v>
      </c>
      <c r="H43" s="270">
        <f t="shared" si="3"/>
        <v>6</v>
      </c>
      <c r="I43" s="39"/>
      <c r="J43" s="39" t="s">
        <v>126</v>
      </c>
      <c r="K43" s="165">
        <v>15</v>
      </c>
      <c r="L43" s="39">
        <v>75</v>
      </c>
      <c r="M43" s="96">
        <f t="shared" si="4"/>
        <v>0.2</v>
      </c>
      <c r="N43" s="39" t="s">
        <v>58</v>
      </c>
      <c r="O43" s="39" t="s">
        <v>76</v>
      </c>
      <c r="P43" s="21" t="s">
        <v>9</v>
      </c>
      <c r="Q43" s="21"/>
      <c r="R43" s="271">
        <f>Отчет!$Q$4</f>
        <v>937015</v>
      </c>
    </row>
    <row r="44" spans="1:18" ht="12.75">
      <c r="A44" s="53">
        <v>43</v>
      </c>
      <c r="B44" s="21" t="s">
        <v>476</v>
      </c>
      <c r="C44" s="39" t="s">
        <v>475</v>
      </c>
      <c r="D44" s="39" t="s">
        <v>474</v>
      </c>
      <c r="E44" s="42" t="s">
        <v>99</v>
      </c>
      <c r="F44" s="39" t="s">
        <v>153</v>
      </c>
      <c r="G44" s="176">
        <v>6</v>
      </c>
      <c r="H44" s="270">
        <f t="shared" si="3"/>
        <v>6</v>
      </c>
      <c r="I44" s="39"/>
      <c r="J44" s="39" t="s">
        <v>126</v>
      </c>
      <c r="K44" s="165">
        <v>12</v>
      </c>
      <c r="L44" s="39">
        <v>75</v>
      </c>
      <c r="M44" s="96">
        <f t="shared" si="4"/>
        <v>0.16</v>
      </c>
      <c r="N44" s="39" t="s">
        <v>58</v>
      </c>
      <c r="O44" s="39" t="s">
        <v>76</v>
      </c>
      <c r="P44" s="21" t="s">
        <v>9</v>
      </c>
      <c r="Q44" s="21"/>
      <c r="R44" s="271">
        <f>Отчет!$Q$4</f>
        <v>937015</v>
      </c>
    </row>
    <row r="45" spans="1:18" ht="12.75">
      <c r="A45" s="53">
        <v>44</v>
      </c>
      <c r="B45" s="21" t="s">
        <v>473</v>
      </c>
      <c r="C45" s="39" t="s">
        <v>472</v>
      </c>
      <c r="D45" s="39" t="s">
        <v>471</v>
      </c>
      <c r="E45" s="42" t="s">
        <v>98</v>
      </c>
      <c r="F45" s="39" t="s">
        <v>153</v>
      </c>
      <c r="G45" s="176">
        <v>6</v>
      </c>
      <c r="H45" s="270">
        <f t="shared" si="3"/>
        <v>6</v>
      </c>
      <c r="I45" s="39"/>
      <c r="J45" s="39" t="s">
        <v>126</v>
      </c>
      <c r="K45" s="165">
        <v>9</v>
      </c>
      <c r="L45" s="39">
        <v>75</v>
      </c>
      <c r="M45" s="96">
        <f t="shared" si="4"/>
        <v>0.12</v>
      </c>
      <c r="N45" s="39" t="s">
        <v>58</v>
      </c>
      <c r="O45" s="39" t="s">
        <v>76</v>
      </c>
      <c r="P45" s="21" t="s">
        <v>9</v>
      </c>
      <c r="Q45" s="21"/>
      <c r="R45" s="271">
        <f>Отчет!$Q$4</f>
        <v>937015</v>
      </c>
    </row>
    <row r="46" spans="1:18" ht="12.75">
      <c r="A46" s="53">
        <v>45</v>
      </c>
      <c r="B46" s="21" t="s">
        <v>486</v>
      </c>
      <c r="C46" s="39" t="s">
        <v>487</v>
      </c>
      <c r="D46" s="39" t="s">
        <v>470</v>
      </c>
      <c r="E46" s="42" t="s">
        <v>99</v>
      </c>
      <c r="F46" s="39" t="s">
        <v>153</v>
      </c>
      <c r="G46" s="176">
        <v>7</v>
      </c>
      <c r="H46" s="270">
        <f t="shared" si="3"/>
        <v>7</v>
      </c>
      <c r="I46" s="39"/>
      <c r="J46" s="39" t="s">
        <v>126</v>
      </c>
      <c r="K46" s="165">
        <v>50</v>
      </c>
      <c r="L46" s="39">
        <v>76</v>
      </c>
      <c r="M46" s="96">
        <f aca="true" t="shared" si="5" ref="M46:M66">K46/L46</f>
        <v>0.6578947368421053</v>
      </c>
      <c r="N46" s="3" t="s">
        <v>49</v>
      </c>
      <c r="O46" s="39" t="s">
        <v>76</v>
      </c>
      <c r="P46" s="21" t="s">
        <v>9</v>
      </c>
      <c r="Q46" s="21"/>
      <c r="R46" s="271">
        <f>Отчет!$Q$4</f>
        <v>937015</v>
      </c>
    </row>
    <row r="47" spans="1:18" ht="12.75">
      <c r="A47" s="53">
        <v>46</v>
      </c>
      <c r="B47" s="21" t="s">
        <v>488</v>
      </c>
      <c r="C47" s="39" t="s">
        <v>489</v>
      </c>
      <c r="D47" s="39" t="s">
        <v>414</v>
      </c>
      <c r="E47" s="42" t="s">
        <v>98</v>
      </c>
      <c r="F47" s="39" t="s">
        <v>153</v>
      </c>
      <c r="G47" s="176">
        <v>7</v>
      </c>
      <c r="H47" s="270">
        <f t="shared" si="3"/>
        <v>7</v>
      </c>
      <c r="I47" s="39"/>
      <c r="J47" s="39" t="s">
        <v>126</v>
      </c>
      <c r="K47" s="165">
        <v>44</v>
      </c>
      <c r="L47" s="39">
        <v>76</v>
      </c>
      <c r="M47" s="96">
        <f t="shared" si="5"/>
        <v>0.5789473684210527</v>
      </c>
      <c r="N47" s="3" t="s">
        <v>50</v>
      </c>
      <c r="O47" s="39" t="s">
        <v>76</v>
      </c>
      <c r="P47" s="21" t="s">
        <v>9</v>
      </c>
      <c r="Q47" s="21"/>
      <c r="R47" s="271">
        <f>Отчет!$Q$4</f>
        <v>937015</v>
      </c>
    </row>
    <row r="48" spans="1:18" ht="12.75">
      <c r="A48" s="53">
        <v>47</v>
      </c>
      <c r="B48" s="21" t="s">
        <v>490</v>
      </c>
      <c r="C48" s="39" t="s">
        <v>491</v>
      </c>
      <c r="D48" s="39" t="s">
        <v>386</v>
      </c>
      <c r="E48" s="42" t="s">
        <v>99</v>
      </c>
      <c r="F48" s="39" t="s">
        <v>153</v>
      </c>
      <c r="G48" s="176">
        <v>7</v>
      </c>
      <c r="H48" s="270">
        <f t="shared" si="3"/>
        <v>7</v>
      </c>
      <c r="I48" s="39"/>
      <c r="J48" s="39" t="s">
        <v>126</v>
      </c>
      <c r="K48" s="165">
        <v>36</v>
      </c>
      <c r="L48" s="39">
        <v>76</v>
      </c>
      <c r="M48" s="96">
        <f t="shared" si="5"/>
        <v>0.47368421052631576</v>
      </c>
      <c r="N48" s="3" t="s">
        <v>58</v>
      </c>
      <c r="O48" s="39" t="s">
        <v>76</v>
      </c>
      <c r="P48" s="21" t="s">
        <v>9</v>
      </c>
      <c r="Q48" s="21"/>
      <c r="R48" s="271">
        <f>Отчет!$Q$4</f>
        <v>937015</v>
      </c>
    </row>
    <row r="49" spans="1:18" ht="12.75">
      <c r="A49" s="53">
        <v>48</v>
      </c>
      <c r="B49" s="21" t="s">
        <v>492</v>
      </c>
      <c r="C49" s="39" t="s">
        <v>377</v>
      </c>
      <c r="D49" s="39" t="s">
        <v>480</v>
      </c>
      <c r="E49" s="42" t="s">
        <v>99</v>
      </c>
      <c r="F49" s="39" t="s">
        <v>153</v>
      </c>
      <c r="G49" s="176">
        <v>7</v>
      </c>
      <c r="H49" s="270">
        <f t="shared" si="3"/>
        <v>7</v>
      </c>
      <c r="I49" s="39"/>
      <c r="J49" s="39" t="s">
        <v>126</v>
      </c>
      <c r="K49" s="165">
        <v>35</v>
      </c>
      <c r="L49" s="39">
        <v>76</v>
      </c>
      <c r="M49" s="96">
        <f t="shared" si="5"/>
        <v>0.4605263157894737</v>
      </c>
      <c r="N49" s="3" t="s">
        <v>58</v>
      </c>
      <c r="O49" s="39" t="s">
        <v>76</v>
      </c>
      <c r="P49" s="21" t="s">
        <v>9</v>
      </c>
      <c r="Q49" s="21"/>
      <c r="R49" s="271">
        <f>Отчет!$Q$4</f>
        <v>937015</v>
      </c>
    </row>
    <row r="50" spans="1:18" ht="12.75">
      <c r="A50" s="53">
        <v>49</v>
      </c>
      <c r="B50" s="21" t="s">
        <v>493</v>
      </c>
      <c r="C50" s="39" t="s">
        <v>436</v>
      </c>
      <c r="D50" s="39" t="s">
        <v>407</v>
      </c>
      <c r="E50" s="42" t="s">
        <v>98</v>
      </c>
      <c r="F50" s="39" t="s">
        <v>153</v>
      </c>
      <c r="G50" s="176">
        <v>7</v>
      </c>
      <c r="H50" s="270">
        <f t="shared" si="3"/>
        <v>7</v>
      </c>
      <c r="I50" s="39"/>
      <c r="J50" s="39" t="s">
        <v>126</v>
      </c>
      <c r="K50" s="165">
        <v>31</v>
      </c>
      <c r="L50" s="39">
        <v>76</v>
      </c>
      <c r="M50" s="96">
        <f t="shared" si="5"/>
        <v>0.40789473684210525</v>
      </c>
      <c r="N50" s="3" t="s">
        <v>58</v>
      </c>
      <c r="O50" s="39" t="s">
        <v>76</v>
      </c>
      <c r="P50" s="21" t="s">
        <v>9</v>
      </c>
      <c r="Q50" s="21"/>
      <c r="R50" s="271">
        <f>Отчет!$Q$4</f>
        <v>937015</v>
      </c>
    </row>
    <row r="51" spans="1:18" ht="12.75">
      <c r="A51" s="53">
        <v>50</v>
      </c>
      <c r="B51" s="21" t="s">
        <v>494</v>
      </c>
      <c r="C51" s="39" t="s">
        <v>495</v>
      </c>
      <c r="D51" s="39" t="s">
        <v>496</v>
      </c>
      <c r="E51" s="42" t="s">
        <v>98</v>
      </c>
      <c r="F51" s="39" t="s">
        <v>153</v>
      </c>
      <c r="G51" s="176">
        <v>7</v>
      </c>
      <c r="H51" s="270">
        <f t="shared" si="3"/>
        <v>7</v>
      </c>
      <c r="I51" s="39"/>
      <c r="J51" s="39" t="s">
        <v>126</v>
      </c>
      <c r="K51" s="165">
        <v>29</v>
      </c>
      <c r="L51" s="39">
        <v>76</v>
      </c>
      <c r="M51" s="96">
        <f t="shared" si="5"/>
        <v>0.3815789473684211</v>
      </c>
      <c r="N51" s="3" t="s">
        <v>58</v>
      </c>
      <c r="O51" s="39" t="s">
        <v>76</v>
      </c>
      <c r="P51" s="21" t="s">
        <v>9</v>
      </c>
      <c r="Q51" s="21"/>
      <c r="R51" s="271">
        <f>Отчет!$Q$4</f>
        <v>937015</v>
      </c>
    </row>
    <row r="52" spans="1:18" ht="12.75">
      <c r="A52" s="53">
        <v>51</v>
      </c>
      <c r="B52" s="21" t="s">
        <v>497</v>
      </c>
      <c r="C52" s="39" t="s">
        <v>498</v>
      </c>
      <c r="D52" s="39" t="s">
        <v>499</v>
      </c>
      <c r="E52" s="42" t="s">
        <v>99</v>
      </c>
      <c r="F52" s="39" t="s">
        <v>153</v>
      </c>
      <c r="G52" s="176">
        <v>7</v>
      </c>
      <c r="H52" s="270">
        <f t="shared" si="3"/>
        <v>7</v>
      </c>
      <c r="I52" s="39"/>
      <c r="J52" s="39" t="s">
        <v>126</v>
      </c>
      <c r="K52" s="165">
        <v>25</v>
      </c>
      <c r="L52" s="39">
        <v>76</v>
      </c>
      <c r="M52" s="96">
        <f t="shared" si="5"/>
        <v>0.32894736842105265</v>
      </c>
      <c r="N52" s="3" t="s">
        <v>58</v>
      </c>
      <c r="O52" s="39" t="s">
        <v>76</v>
      </c>
      <c r="P52" s="21" t="s">
        <v>9</v>
      </c>
      <c r="Q52" s="21"/>
      <c r="R52" s="271">
        <f>Отчет!$Q$4</f>
        <v>937015</v>
      </c>
    </row>
    <row r="53" spans="1:18" ht="12.75">
      <c r="A53" s="53">
        <v>52</v>
      </c>
      <c r="B53" s="95" t="s">
        <v>500</v>
      </c>
      <c r="C53" s="95" t="s">
        <v>501</v>
      </c>
      <c r="D53" s="95" t="s">
        <v>502</v>
      </c>
      <c r="E53" s="174" t="s">
        <v>99</v>
      </c>
      <c r="F53" s="39" t="s">
        <v>153</v>
      </c>
      <c r="G53" s="176">
        <v>7</v>
      </c>
      <c r="H53" s="270">
        <f t="shared" si="3"/>
        <v>7</v>
      </c>
      <c r="I53" s="5"/>
      <c r="J53" s="39" t="s">
        <v>126</v>
      </c>
      <c r="K53" s="306">
        <v>23</v>
      </c>
      <c r="L53" s="39">
        <v>76</v>
      </c>
      <c r="M53" s="96">
        <f t="shared" si="5"/>
        <v>0.3026315789473684</v>
      </c>
      <c r="N53" s="3" t="s">
        <v>58</v>
      </c>
      <c r="O53" s="39" t="s">
        <v>76</v>
      </c>
      <c r="P53" s="21" t="s">
        <v>9</v>
      </c>
      <c r="Q53" s="21"/>
      <c r="R53" s="271">
        <f>Отчет!$Q$4</f>
        <v>937015</v>
      </c>
    </row>
    <row r="54" spans="1:18" ht="12.75">
      <c r="A54" s="53">
        <v>53</v>
      </c>
      <c r="B54" s="95" t="s">
        <v>503</v>
      </c>
      <c r="C54" s="95" t="s">
        <v>504</v>
      </c>
      <c r="D54" s="95" t="s">
        <v>371</v>
      </c>
      <c r="E54" s="174" t="s">
        <v>99</v>
      </c>
      <c r="F54" s="39" t="s">
        <v>153</v>
      </c>
      <c r="G54" s="176">
        <v>7</v>
      </c>
      <c r="H54" s="270">
        <f t="shared" si="3"/>
        <v>7</v>
      </c>
      <c r="I54" s="5"/>
      <c r="J54" s="39" t="s">
        <v>126</v>
      </c>
      <c r="K54" s="306">
        <v>21</v>
      </c>
      <c r="L54" s="39">
        <v>76</v>
      </c>
      <c r="M54" s="96">
        <f t="shared" si="5"/>
        <v>0.27631578947368424</v>
      </c>
      <c r="N54" s="3" t="s">
        <v>58</v>
      </c>
      <c r="O54" s="39" t="s">
        <v>76</v>
      </c>
      <c r="P54" s="21" t="s">
        <v>9</v>
      </c>
      <c r="Q54" s="21"/>
      <c r="R54" s="271">
        <f>Отчет!$Q$4</f>
        <v>937015</v>
      </c>
    </row>
    <row r="55" spans="1:18" ht="12.75">
      <c r="A55" s="53">
        <v>54</v>
      </c>
      <c r="B55" s="95" t="s">
        <v>505</v>
      </c>
      <c r="C55" s="95" t="s">
        <v>419</v>
      </c>
      <c r="D55" s="95" t="s">
        <v>374</v>
      </c>
      <c r="E55" s="174" t="s">
        <v>99</v>
      </c>
      <c r="F55" s="39" t="s">
        <v>153</v>
      </c>
      <c r="G55" s="176">
        <v>7</v>
      </c>
      <c r="H55" s="270">
        <f t="shared" si="3"/>
        <v>7</v>
      </c>
      <c r="I55" s="5"/>
      <c r="J55" s="39" t="s">
        <v>126</v>
      </c>
      <c r="K55" s="306">
        <v>16</v>
      </c>
      <c r="L55" s="39">
        <v>76</v>
      </c>
      <c r="M55" s="96">
        <f t="shared" si="5"/>
        <v>0.21052631578947367</v>
      </c>
      <c r="N55" s="3" t="s">
        <v>58</v>
      </c>
      <c r="O55" s="39" t="s">
        <v>76</v>
      </c>
      <c r="P55" s="21" t="s">
        <v>9</v>
      </c>
      <c r="Q55" s="21"/>
      <c r="R55" s="271">
        <f>Отчет!$Q$4</f>
        <v>937015</v>
      </c>
    </row>
    <row r="56" spans="1:18" ht="12.75">
      <c r="A56" s="53">
        <v>55</v>
      </c>
      <c r="B56" s="114" t="s">
        <v>506</v>
      </c>
      <c r="C56" s="114" t="s">
        <v>507</v>
      </c>
      <c r="D56" s="114" t="s">
        <v>467</v>
      </c>
      <c r="E56" s="175" t="s">
        <v>98</v>
      </c>
      <c r="F56" s="39" t="s">
        <v>153</v>
      </c>
      <c r="G56" s="176">
        <v>7</v>
      </c>
      <c r="H56" s="270">
        <f t="shared" si="3"/>
        <v>7</v>
      </c>
      <c r="I56" s="5"/>
      <c r="J56" s="39" t="s">
        <v>126</v>
      </c>
      <c r="K56" s="307">
        <v>15</v>
      </c>
      <c r="L56" s="39">
        <v>76</v>
      </c>
      <c r="M56" s="96">
        <f t="shared" si="5"/>
        <v>0.19736842105263158</v>
      </c>
      <c r="N56" s="3" t="s">
        <v>58</v>
      </c>
      <c r="O56" s="39" t="s">
        <v>76</v>
      </c>
      <c r="P56" s="21" t="s">
        <v>9</v>
      </c>
      <c r="Q56" s="21"/>
      <c r="R56" s="271">
        <f>Отчет!$Q$4</f>
        <v>937015</v>
      </c>
    </row>
    <row r="57" spans="1:18" ht="12.75">
      <c r="A57" s="53">
        <v>56</v>
      </c>
      <c r="B57" s="95" t="s">
        <v>508</v>
      </c>
      <c r="C57" s="95" t="s">
        <v>509</v>
      </c>
      <c r="D57" s="95" t="s">
        <v>510</v>
      </c>
      <c r="E57" s="170" t="s">
        <v>98</v>
      </c>
      <c r="F57" s="39" t="s">
        <v>153</v>
      </c>
      <c r="G57" s="176">
        <v>7</v>
      </c>
      <c r="H57" s="270">
        <f t="shared" si="3"/>
        <v>7</v>
      </c>
      <c r="I57" s="46"/>
      <c r="J57" s="39" t="s">
        <v>126</v>
      </c>
      <c r="K57" s="305">
        <v>9</v>
      </c>
      <c r="L57" s="39">
        <v>76</v>
      </c>
      <c r="M57" s="96">
        <f t="shared" si="5"/>
        <v>0.11842105263157894</v>
      </c>
      <c r="N57" s="3" t="s">
        <v>58</v>
      </c>
      <c r="O57" s="39" t="s">
        <v>76</v>
      </c>
      <c r="P57" s="21" t="s">
        <v>9</v>
      </c>
      <c r="Q57" s="21"/>
      <c r="R57" s="271">
        <f>Отчет!$Q$4</f>
        <v>937015</v>
      </c>
    </row>
    <row r="58" spans="1:18" ht="12.75">
      <c r="A58" s="53">
        <v>57</v>
      </c>
      <c r="B58" s="95" t="s">
        <v>747</v>
      </c>
      <c r="C58" s="95" t="s">
        <v>469</v>
      </c>
      <c r="D58" s="95" t="s">
        <v>374</v>
      </c>
      <c r="E58" s="170" t="s">
        <v>99</v>
      </c>
      <c r="F58" s="39" t="s">
        <v>153</v>
      </c>
      <c r="G58" s="176">
        <v>8</v>
      </c>
      <c r="H58" s="270">
        <f>G58</f>
        <v>8</v>
      </c>
      <c r="I58" s="46"/>
      <c r="J58" s="39" t="s">
        <v>126</v>
      </c>
      <c r="K58" s="305">
        <v>32</v>
      </c>
      <c r="L58" s="39">
        <v>83</v>
      </c>
      <c r="M58" s="96">
        <f>K58/L58</f>
        <v>0.3855421686746988</v>
      </c>
      <c r="N58" s="3" t="s">
        <v>58</v>
      </c>
      <c r="O58" s="39" t="s">
        <v>76</v>
      </c>
      <c r="P58" s="21" t="s">
        <v>9</v>
      </c>
      <c r="Q58" s="21"/>
      <c r="R58" s="271">
        <f>Отчет!$Q$4</f>
        <v>937015</v>
      </c>
    </row>
    <row r="59" spans="1:18" ht="12.75">
      <c r="A59" s="53">
        <v>58</v>
      </c>
      <c r="B59" s="21" t="s">
        <v>647</v>
      </c>
      <c r="C59" s="21" t="s">
        <v>648</v>
      </c>
      <c r="D59" s="21" t="s">
        <v>649</v>
      </c>
      <c r="E59" s="304" t="s">
        <v>99</v>
      </c>
      <c r="F59" s="39" t="s">
        <v>153</v>
      </c>
      <c r="G59" s="12">
        <v>9</v>
      </c>
      <c r="H59" s="12">
        <f>G59</f>
        <v>9</v>
      </c>
      <c r="I59" s="22"/>
      <c r="J59" s="39" t="s">
        <v>126</v>
      </c>
      <c r="K59" s="12">
        <v>39</v>
      </c>
      <c r="L59" s="12">
        <v>80</v>
      </c>
      <c r="M59" s="96">
        <f>K59/L59</f>
        <v>0.4875</v>
      </c>
      <c r="N59" s="3" t="s">
        <v>50</v>
      </c>
      <c r="O59" s="39" t="s">
        <v>76</v>
      </c>
      <c r="P59" s="21" t="s">
        <v>9</v>
      </c>
      <c r="Q59" s="21"/>
      <c r="R59" s="271">
        <f>Отчет!$Q$4</f>
        <v>937015</v>
      </c>
    </row>
    <row r="60" spans="1:18" ht="12.75">
      <c r="A60" s="53">
        <v>59</v>
      </c>
      <c r="B60" s="21" t="s">
        <v>650</v>
      </c>
      <c r="C60" s="21" t="s">
        <v>562</v>
      </c>
      <c r="D60" s="21" t="s">
        <v>374</v>
      </c>
      <c r="E60" s="304" t="s">
        <v>99</v>
      </c>
      <c r="F60" s="39" t="s">
        <v>153</v>
      </c>
      <c r="G60" s="12">
        <v>9</v>
      </c>
      <c r="H60" s="12">
        <f>G60</f>
        <v>9</v>
      </c>
      <c r="I60" s="22"/>
      <c r="J60" s="39" t="s">
        <v>126</v>
      </c>
      <c r="K60" s="12">
        <v>13</v>
      </c>
      <c r="L60" s="12">
        <v>80</v>
      </c>
      <c r="M60" s="96">
        <f>K60/L60</f>
        <v>0.1625</v>
      </c>
      <c r="N60" s="3" t="s">
        <v>58</v>
      </c>
      <c r="O60" s="39" t="s">
        <v>76</v>
      </c>
      <c r="P60" s="21" t="s">
        <v>9</v>
      </c>
      <c r="Q60" s="21"/>
      <c r="R60" s="271">
        <f>Отчет!$Q$4</f>
        <v>937015</v>
      </c>
    </row>
    <row r="61" spans="1:18" ht="12.75">
      <c r="A61" s="53">
        <v>60</v>
      </c>
      <c r="B61" s="21" t="s">
        <v>622</v>
      </c>
      <c r="C61" s="21" t="s">
        <v>623</v>
      </c>
      <c r="D61" s="21" t="s">
        <v>374</v>
      </c>
      <c r="E61" s="304" t="s">
        <v>99</v>
      </c>
      <c r="F61" s="39" t="s">
        <v>153</v>
      </c>
      <c r="G61" s="12">
        <v>9</v>
      </c>
      <c r="H61" s="12">
        <f>G61</f>
        <v>9</v>
      </c>
      <c r="I61" s="22"/>
      <c r="J61" s="39" t="s">
        <v>126</v>
      </c>
      <c r="K61" s="12">
        <v>12.5</v>
      </c>
      <c r="L61" s="12">
        <v>80</v>
      </c>
      <c r="M61" s="96">
        <f>K61/L61</f>
        <v>0.15625</v>
      </c>
      <c r="N61" s="3" t="s">
        <v>58</v>
      </c>
      <c r="O61" s="39" t="s">
        <v>76</v>
      </c>
      <c r="P61" s="21" t="s">
        <v>9</v>
      </c>
      <c r="Q61" s="21"/>
      <c r="R61" s="271">
        <f>Отчет!$Q$4</f>
        <v>937015</v>
      </c>
    </row>
    <row r="62" spans="1:18" ht="12.75">
      <c r="A62" s="53">
        <v>61</v>
      </c>
      <c r="B62" s="21" t="s">
        <v>381</v>
      </c>
      <c r="C62" s="21" t="s">
        <v>382</v>
      </c>
      <c r="D62" s="21" t="s">
        <v>383</v>
      </c>
      <c r="E62" s="304" t="s">
        <v>99</v>
      </c>
      <c r="F62" s="39" t="s">
        <v>153</v>
      </c>
      <c r="G62" s="12">
        <v>9</v>
      </c>
      <c r="H62" s="12">
        <f>G62</f>
        <v>9</v>
      </c>
      <c r="I62" s="22"/>
      <c r="J62" s="39" t="s">
        <v>126</v>
      </c>
      <c r="K62" s="12">
        <v>9</v>
      </c>
      <c r="L62" s="12">
        <v>80</v>
      </c>
      <c r="M62" s="96">
        <f>K62/L62</f>
        <v>0.1125</v>
      </c>
      <c r="N62" s="3" t="s">
        <v>58</v>
      </c>
      <c r="O62" s="39" t="s">
        <v>76</v>
      </c>
      <c r="P62" s="21" t="s">
        <v>9</v>
      </c>
      <c r="Q62" s="21"/>
      <c r="R62" s="271">
        <f>Отчет!$Q$4</f>
        <v>937015</v>
      </c>
    </row>
    <row r="63" spans="1:18" ht="12.75">
      <c r="A63" s="53">
        <v>62</v>
      </c>
      <c r="B63" s="21" t="s">
        <v>662</v>
      </c>
      <c r="C63" s="21" t="s">
        <v>663</v>
      </c>
      <c r="D63" s="21" t="s">
        <v>386</v>
      </c>
      <c r="E63" s="304" t="s">
        <v>99</v>
      </c>
      <c r="F63" s="39" t="s">
        <v>153</v>
      </c>
      <c r="G63" s="12">
        <v>10</v>
      </c>
      <c r="H63" s="12">
        <f>G63</f>
        <v>10</v>
      </c>
      <c r="I63" s="22"/>
      <c r="J63" s="39" t="s">
        <v>126</v>
      </c>
      <c r="K63" s="12">
        <v>31</v>
      </c>
      <c r="L63" s="12">
        <v>100</v>
      </c>
      <c r="M63" s="96">
        <f>K63/L63</f>
        <v>0.31</v>
      </c>
      <c r="N63" s="3" t="s">
        <v>58</v>
      </c>
      <c r="O63" s="39" t="s">
        <v>76</v>
      </c>
      <c r="P63" s="21" t="s">
        <v>9</v>
      </c>
      <c r="Q63" s="21"/>
      <c r="R63" s="271">
        <f>Отчет!$Q$4</f>
        <v>937015</v>
      </c>
    </row>
    <row r="64" spans="1:18" ht="12.75">
      <c r="A64" s="53">
        <v>63</v>
      </c>
      <c r="B64" s="21" t="s">
        <v>375</v>
      </c>
      <c r="C64" s="21" t="s">
        <v>370</v>
      </c>
      <c r="D64" s="21" t="s">
        <v>371</v>
      </c>
      <c r="E64" s="304" t="s">
        <v>99</v>
      </c>
      <c r="F64" s="39" t="s">
        <v>153</v>
      </c>
      <c r="G64" s="12">
        <v>10</v>
      </c>
      <c r="H64" s="12">
        <f>G64</f>
        <v>10</v>
      </c>
      <c r="I64" s="22"/>
      <c r="J64" s="39" t="s">
        <v>126</v>
      </c>
      <c r="K64" s="12">
        <v>23</v>
      </c>
      <c r="L64" s="12">
        <v>100</v>
      </c>
      <c r="M64" s="96">
        <f>K64/L64</f>
        <v>0.23</v>
      </c>
      <c r="N64" s="3" t="s">
        <v>58</v>
      </c>
      <c r="O64" s="39" t="s">
        <v>76</v>
      </c>
      <c r="P64" s="21" t="s">
        <v>9</v>
      </c>
      <c r="Q64" s="21"/>
      <c r="R64" s="271">
        <f>Отчет!$Q$4</f>
        <v>937015</v>
      </c>
    </row>
    <row r="65" spans="1:18" ht="12.75">
      <c r="A65" s="53">
        <v>64</v>
      </c>
      <c r="B65" s="21" t="s">
        <v>634</v>
      </c>
      <c r="C65" s="21" t="s">
        <v>487</v>
      </c>
      <c r="D65" s="21" t="s">
        <v>378</v>
      </c>
      <c r="E65" s="304" t="s">
        <v>99</v>
      </c>
      <c r="F65" s="39" t="s">
        <v>153</v>
      </c>
      <c r="G65" s="12">
        <v>10</v>
      </c>
      <c r="H65" s="12">
        <f>G65</f>
        <v>10</v>
      </c>
      <c r="I65" s="22"/>
      <c r="J65" s="39" t="s">
        <v>126</v>
      </c>
      <c r="K65" s="12">
        <v>21</v>
      </c>
      <c r="L65" s="12">
        <v>100</v>
      </c>
      <c r="M65" s="96">
        <f>K65/L65</f>
        <v>0.21</v>
      </c>
      <c r="N65" s="3" t="s">
        <v>58</v>
      </c>
      <c r="O65" s="39" t="s">
        <v>76</v>
      </c>
      <c r="P65" s="21" t="s">
        <v>9</v>
      </c>
      <c r="Q65" s="21"/>
      <c r="R65" s="271">
        <f>Отчет!$Q$4</f>
        <v>937015</v>
      </c>
    </row>
    <row r="66" spans="1:18" ht="12.75">
      <c r="A66" s="53">
        <v>65</v>
      </c>
      <c r="B66" s="21" t="s">
        <v>596</v>
      </c>
      <c r="C66" s="21" t="s">
        <v>597</v>
      </c>
      <c r="D66" s="21" t="s">
        <v>480</v>
      </c>
      <c r="E66" s="304" t="s">
        <v>99</v>
      </c>
      <c r="F66" s="39" t="s">
        <v>153</v>
      </c>
      <c r="G66" s="12">
        <v>11</v>
      </c>
      <c r="H66" s="12">
        <v>11</v>
      </c>
      <c r="I66" s="22"/>
      <c r="J66" s="39" t="s">
        <v>126</v>
      </c>
      <c r="K66" s="12">
        <v>47</v>
      </c>
      <c r="L66" s="12">
        <v>100</v>
      </c>
      <c r="M66" s="96">
        <f>K66/L66</f>
        <v>0.47</v>
      </c>
      <c r="N66" s="3" t="s">
        <v>58</v>
      </c>
      <c r="O66" s="39" t="s">
        <v>76</v>
      </c>
      <c r="P66" s="21" t="s">
        <v>9</v>
      </c>
      <c r="Q66" s="21"/>
      <c r="R66" s="271">
        <f>Отчет!$Q$4</f>
        <v>937015</v>
      </c>
    </row>
    <row r="67" spans="1:18" ht="12.75">
      <c r="A67" s="53">
        <v>66</v>
      </c>
      <c r="B67" s="21" t="s">
        <v>692</v>
      </c>
      <c r="C67" s="21" t="s">
        <v>695</v>
      </c>
      <c r="D67" s="21" t="s">
        <v>694</v>
      </c>
      <c r="E67" s="304" t="s">
        <v>99</v>
      </c>
      <c r="F67" s="39" t="s">
        <v>153</v>
      </c>
      <c r="G67" s="12">
        <v>11</v>
      </c>
      <c r="H67" s="12">
        <v>11</v>
      </c>
      <c r="I67" s="22"/>
      <c r="J67" s="39" t="s">
        <v>126</v>
      </c>
      <c r="K67" s="12">
        <v>24</v>
      </c>
      <c r="L67" s="12">
        <v>100</v>
      </c>
      <c r="M67" s="96">
        <f>K67/L67</f>
        <v>0.24</v>
      </c>
      <c r="N67" s="3" t="s">
        <v>58</v>
      </c>
      <c r="O67" s="39" t="s">
        <v>76</v>
      </c>
      <c r="P67" s="21" t="s">
        <v>9</v>
      </c>
      <c r="Q67" s="21"/>
      <c r="R67" s="271">
        <f>Отчет!$Q$4</f>
        <v>937015</v>
      </c>
    </row>
    <row r="68" ht="12.75">
      <c r="A68" s="53">
        <v>67</v>
      </c>
    </row>
    <row r="69" ht="12.75">
      <c r="A69" s="53">
        <v>68</v>
      </c>
    </row>
    <row r="70" ht="12.75">
      <c r="A70" s="53">
        <v>69</v>
      </c>
    </row>
    <row r="71" ht="12.75">
      <c r="A71" s="53">
        <v>70</v>
      </c>
    </row>
    <row r="72" ht="12.75">
      <c r="A72" s="53">
        <v>71</v>
      </c>
    </row>
    <row r="73" ht="12.75">
      <c r="A73" s="53">
        <v>72</v>
      </c>
    </row>
    <row r="74" ht="12.75">
      <c r="A74" s="53">
        <v>73</v>
      </c>
    </row>
    <row r="75" ht="12.75">
      <c r="A75" s="53">
        <v>74</v>
      </c>
    </row>
    <row r="76" ht="12.75">
      <c r="A76" s="53">
        <v>75</v>
      </c>
    </row>
    <row r="77" ht="12.75">
      <c r="A77" s="53">
        <v>76</v>
      </c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67">
      <formula1>Статус</formula1>
    </dataValidation>
    <dataValidation type="list" allowBlank="1" showInputMessage="1" showErrorMessage="1" sqref="E11:E12 E34:E67 E2:E6">
      <formula1>Пол</formula1>
    </dataValidation>
    <dataValidation type="list" allowBlank="1" showInputMessage="1" showErrorMessage="1" sqref="I2:I58">
      <formula1>Специализированные_классы</formula1>
    </dataValidation>
    <dataValidation type="list" allowBlank="1" showInputMessage="1" showErrorMessage="1" sqref="O2:O67">
      <formula1>Район</formula1>
    </dataValidation>
    <dataValidation type="list" allowBlank="1" showInputMessage="1" showErrorMessage="1" sqref="F2:F67">
      <formula1>ОУ</formula1>
    </dataValidation>
    <dataValidation type="list" allowBlank="1" showInputMessage="1" showErrorMessage="1" sqref="J2:J67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I8" sqref="I8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2.25390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4">
        <f>IF(COUNTIF(Q1:Q1000,"Введите дату рождения")&lt;&gt;0,"1","")</f>
      </c>
    </row>
    <row r="2" spans="1:18" ht="12.75" customHeight="1">
      <c r="A2" s="42"/>
      <c r="B2" s="39"/>
      <c r="C2" s="39"/>
      <c r="D2" s="39"/>
      <c r="E2" s="42"/>
      <c r="F2" s="39" t="str">
        <f>Отчет!$C$4</f>
        <v>МБОУ СОШ № 153</v>
      </c>
      <c r="G2" s="176"/>
      <c r="H2" s="270">
        <f aca="true" t="shared" si="0" ref="H2:H20">G2</f>
        <v>0</v>
      </c>
      <c r="I2" s="39"/>
      <c r="J2" s="39"/>
      <c r="K2" s="165"/>
      <c r="L2" s="39"/>
      <c r="M2" s="4" t="e">
        <f aca="true" t="shared" si="1" ref="M2:M20">K2/L2</f>
        <v>#DIV/0!</v>
      </c>
      <c r="N2" s="39"/>
      <c r="O2" s="39"/>
      <c r="P2" s="21" t="s">
        <v>16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 t="str">
        <f>Отчет!$C$4</f>
        <v>МБОУ СОШ № 153</v>
      </c>
      <c r="G3" s="176"/>
      <c r="H3" s="270">
        <f t="shared" si="0"/>
        <v>0</v>
      </c>
      <c r="I3" s="39"/>
      <c r="J3" s="39"/>
      <c r="K3" s="165"/>
      <c r="L3" s="39"/>
      <c r="M3" s="4" t="e">
        <f t="shared" si="1"/>
        <v>#DIV/0!</v>
      </c>
      <c r="N3" s="39"/>
      <c r="O3" s="39"/>
      <c r="P3" s="21" t="s">
        <v>16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 customHeight="1">
      <c r="A4" s="166"/>
      <c r="B4" s="21"/>
      <c r="C4" s="39"/>
      <c r="D4" s="39"/>
      <c r="E4" s="42"/>
      <c r="F4" s="39" t="str">
        <f>Отчет!$C$4</f>
        <v>МБОУ СОШ № 153</v>
      </c>
      <c r="G4" s="176"/>
      <c r="H4" s="270">
        <f t="shared" si="0"/>
        <v>0</v>
      </c>
      <c r="I4" s="39"/>
      <c r="J4" s="39"/>
      <c r="K4" s="165"/>
      <c r="L4" s="39"/>
      <c r="M4" s="4" t="e">
        <f t="shared" si="1"/>
        <v>#DIV/0!</v>
      </c>
      <c r="N4" s="39"/>
      <c r="O4" s="39"/>
      <c r="P4" s="21" t="s">
        <v>16</v>
      </c>
      <c r="Q4" s="134">
        <f t="shared" si="2"/>
      </c>
      <c r="R4" s="271">
        <f>Отчет!$Q$4</f>
        <v>937015</v>
      </c>
    </row>
    <row r="5" spans="1:18" ht="12.75" customHeight="1">
      <c r="A5" s="166"/>
      <c r="B5" s="21"/>
      <c r="C5" s="39"/>
      <c r="D5" s="39"/>
      <c r="E5" s="42"/>
      <c r="F5" s="39" t="str">
        <f>Отчет!$C$4</f>
        <v>МБОУ СОШ № 153</v>
      </c>
      <c r="G5" s="176"/>
      <c r="H5" s="270">
        <f t="shared" si="0"/>
        <v>0</v>
      </c>
      <c r="I5" s="39"/>
      <c r="J5" s="39"/>
      <c r="K5" s="165"/>
      <c r="L5" s="39"/>
      <c r="M5" s="4" t="e">
        <f t="shared" si="1"/>
        <v>#DIV/0!</v>
      </c>
      <c r="N5" s="39"/>
      <c r="O5" s="39"/>
      <c r="P5" s="21" t="s">
        <v>16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 t="str">
        <f>Отчет!$C$4</f>
        <v>МБОУ СОШ № 153</v>
      </c>
      <c r="G6" s="176"/>
      <c r="H6" s="270">
        <f t="shared" si="0"/>
        <v>0</v>
      </c>
      <c r="I6" s="39"/>
      <c r="J6" s="39"/>
      <c r="K6" s="165"/>
      <c r="L6" s="39"/>
      <c r="M6" s="4" t="e">
        <f t="shared" si="1"/>
        <v>#DIV/0!</v>
      </c>
      <c r="N6" s="39"/>
      <c r="O6" s="39"/>
      <c r="P6" s="21" t="s">
        <v>16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 t="str">
        <f>Отчет!$C$4</f>
        <v>МБОУ СОШ № 153</v>
      </c>
      <c r="G7" s="176"/>
      <c r="H7" s="270">
        <f t="shared" si="0"/>
        <v>0</v>
      </c>
      <c r="I7" s="39"/>
      <c r="J7" s="39"/>
      <c r="K7" s="165"/>
      <c r="L7" s="39"/>
      <c r="M7" s="4" t="e">
        <f t="shared" si="1"/>
        <v>#DIV/0!</v>
      </c>
      <c r="N7" s="39"/>
      <c r="O7" s="39"/>
      <c r="P7" s="21" t="s">
        <v>16</v>
      </c>
      <c r="Q7" s="134">
        <f t="shared" si="2"/>
      </c>
      <c r="R7" s="271">
        <f>Отчет!$Q$4</f>
        <v>937015</v>
      </c>
    </row>
    <row r="8" spans="1:18" ht="12.75" customHeight="1">
      <c r="A8" s="166"/>
      <c r="B8" s="21"/>
      <c r="C8" s="39"/>
      <c r="D8" s="39"/>
      <c r="E8" s="42"/>
      <c r="F8" s="39" t="str">
        <f>Отчет!$C$4</f>
        <v>МБОУ СОШ № 153</v>
      </c>
      <c r="G8" s="176"/>
      <c r="H8" s="270">
        <f t="shared" si="0"/>
        <v>0</v>
      </c>
      <c r="I8" s="39"/>
      <c r="J8" s="39"/>
      <c r="K8" s="165"/>
      <c r="L8" s="39"/>
      <c r="M8" s="4" t="e">
        <f t="shared" si="1"/>
        <v>#DIV/0!</v>
      </c>
      <c r="N8" s="39"/>
      <c r="O8" s="39"/>
      <c r="P8" s="21" t="s">
        <v>16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 t="str">
        <f>Отчет!$C$4</f>
        <v>МБОУ СОШ № 153</v>
      </c>
      <c r="G9" s="176"/>
      <c r="H9" s="270">
        <f t="shared" si="0"/>
        <v>0</v>
      </c>
      <c r="I9" s="39"/>
      <c r="J9" s="39"/>
      <c r="K9" s="165"/>
      <c r="L9" s="39"/>
      <c r="M9" s="4" t="e">
        <f t="shared" si="1"/>
        <v>#DIV/0!</v>
      </c>
      <c r="N9" s="39"/>
      <c r="O9" s="39"/>
      <c r="P9" s="21" t="s">
        <v>16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 t="str">
        <f>Отчет!$C$4</f>
        <v>МБОУ СОШ № 153</v>
      </c>
      <c r="G10" s="176"/>
      <c r="H10" s="270">
        <f t="shared" si="0"/>
        <v>0</v>
      </c>
      <c r="I10" s="39"/>
      <c r="J10" s="39"/>
      <c r="K10" s="165"/>
      <c r="L10" s="39"/>
      <c r="M10" s="4" t="e">
        <f t="shared" si="1"/>
        <v>#DIV/0!</v>
      </c>
      <c r="N10" s="39"/>
      <c r="O10" s="39"/>
      <c r="P10" s="21" t="s">
        <v>16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 t="str">
        <f>Отчет!$C$4</f>
        <v>МБОУ СОШ № 153</v>
      </c>
      <c r="G11" s="176"/>
      <c r="H11" s="270">
        <f t="shared" si="0"/>
        <v>0</v>
      </c>
      <c r="I11" s="39"/>
      <c r="J11" s="39"/>
      <c r="K11" s="165"/>
      <c r="L11" s="39"/>
      <c r="M11" s="4" t="e">
        <f t="shared" si="1"/>
        <v>#DIV/0!</v>
      </c>
      <c r="N11" s="39"/>
      <c r="O11" s="39"/>
      <c r="P11" s="21" t="s">
        <v>16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 t="str">
        <f>Отчет!$C$4</f>
        <v>МБОУ СОШ № 153</v>
      </c>
      <c r="G12" s="176"/>
      <c r="H12" s="270">
        <f t="shared" si="0"/>
        <v>0</v>
      </c>
      <c r="I12" s="39"/>
      <c r="J12" s="39"/>
      <c r="K12" s="165"/>
      <c r="L12" s="39"/>
      <c r="M12" s="4" t="e">
        <f t="shared" si="1"/>
        <v>#DIV/0!</v>
      </c>
      <c r="N12" s="39"/>
      <c r="O12" s="39"/>
      <c r="P12" s="21" t="s">
        <v>16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 t="str">
        <f>Отчет!$C$4</f>
        <v>МБОУ СОШ № 153</v>
      </c>
      <c r="G13" s="176"/>
      <c r="H13" s="270">
        <f t="shared" si="0"/>
        <v>0</v>
      </c>
      <c r="I13" s="39"/>
      <c r="J13" s="39"/>
      <c r="K13" s="165"/>
      <c r="L13" s="39"/>
      <c r="M13" s="4" t="e">
        <f t="shared" si="1"/>
        <v>#DIV/0!</v>
      </c>
      <c r="N13" s="39"/>
      <c r="O13" s="39"/>
      <c r="P13" s="21" t="s">
        <v>16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 t="str">
        <f>Отчет!$C$4</f>
        <v>МБОУ СОШ № 153</v>
      </c>
      <c r="G14" s="176"/>
      <c r="H14" s="270">
        <f t="shared" si="0"/>
        <v>0</v>
      </c>
      <c r="I14" s="39"/>
      <c r="J14" s="39"/>
      <c r="K14" s="165"/>
      <c r="L14" s="39"/>
      <c r="M14" s="4" t="e">
        <f t="shared" si="1"/>
        <v>#DIV/0!</v>
      </c>
      <c r="N14" s="39"/>
      <c r="O14" s="39"/>
      <c r="P14" s="21" t="s">
        <v>16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 t="str">
        <f>Отчет!$C$4</f>
        <v>МБОУ СОШ № 153</v>
      </c>
      <c r="G15" s="176"/>
      <c r="H15" s="270">
        <f t="shared" si="0"/>
        <v>0</v>
      </c>
      <c r="I15" s="39"/>
      <c r="J15" s="39"/>
      <c r="K15" s="165"/>
      <c r="L15" s="39"/>
      <c r="M15" s="4" t="e">
        <f t="shared" si="1"/>
        <v>#DIV/0!</v>
      </c>
      <c r="N15" s="39"/>
      <c r="O15" s="39"/>
      <c r="P15" s="21" t="s">
        <v>16</v>
      </c>
      <c r="Q15" s="134">
        <f t="shared" si="2"/>
      </c>
      <c r="R15" s="271">
        <f>Отчет!$Q$4</f>
        <v>937015</v>
      </c>
    </row>
    <row r="16" spans="1:18" ht="12.75">
      <c r="A16" s="3"/>
      <c r="B16" s="44"/>
      <c r="C16" s="45"/>
      <c r="D16" s="45"/>
      <c r="E16" s="172"/>
      <c r="F16" s="39" t="str">
        <f>Отчет!$C$4</f>
        <v>МБОУ СОШ № 153</v>
      </c>
      <c r="G16" s="176"/>
      <c r="H16" s="270">
        <f t="shared" si="0"/>
        <v>0</v>
      </c>
      <c r="I16" s="5"/>
      <c r="J16" s="39"/>
      <c r="K16" s="5"/>
      <c r="L16" s="13"/>
      <c r="M16" s="4" t="e">
        <f t="shared" si="1"/>
        <v>#DIV/0!</v>
      </c>
      <c r="N16" s="37"/>
      <c r="O16" s="39"/>
      <c r="P16" s="21" t="s">
        <v>16</v>
      </c>
      <c r="Q16" s="134">
        <f t="shared" si="2"/>
      </c>
      <c r="R16" s="271">
        <f>Отчет!$Q$4</f>
        <v>937015</v>
      </c>
    </row>
    <row r="17" spans="1:18" ht="12.75">
      <c r="A17" s="3"/>
      <c r="B17" s="44"/>
      <c r="C17" s="45"/>
      <c r="D17" s="45"/>
      <c r="E17" s="172"/>
      <c r="F17" s="39" t="str">
        <f>Отчет!$C$4</f>
        <v>МБОУ СОШ № 153</v>
      </c>
      <c r="G17" s="176"/>
      <c r="H17" s="270">
        <f t="shared" si="0"/>
        <v>0</v>
      </c>
      <c r="I17" s="5"/>
      <c r="J17" s="39"/>
      <c r="K17" s="5"/>
      <c r="L17" s="13"/>
      <c r="M17" s="4" t="e">
        <f t="shared" si="1"/>
        <v>#DIV/0!</v>
      </c>
      <c r="N17" s="37"/>
      <c r="O17" s="39"/>
      <c r="P17" s="21" t="s">
        <v>16</v>
      </c>
      <c r="Q17" s="134">
        <f t="shared" si="2"/>
      </c>
      <c r="R17" s="271">
        <f>Отчет!$Q$4</f>
        <v>937015</v>
      </c>
    </row>
    <row r="18" spans="1:18" ht="12.75">
      <c r="A18" s="3"/>
      <c r="B18" s="44"/>
      <c r="C18" s="45"/>
      <c r="D18" s="45"/>
      <c r="E18" s="172"/>
      <c r="F18" s="39" t="str">
        <f>Отчет!$C$4</f>
        <v>МБОУ СОШ № 153</v>
      </c>
      <c r="G18" s="176"/>
      <c r="H18" s="270">
        <f t="shared" si="0"/>
        <v>0</v>
      </c>
      <c r="I18" s="5"/>
      <c r="J18" s="39"/>
      <c r="K18" s="5"/>
      <c r="L18" s="13"/>
      <c r="M18" s="4" t="e">
        <f t="shared" si="1"/>
        <v>#DIV/0!</v>
      </c>
      <c r="N18" s="37"/>
      <c r="O18" s="39"/>
      <c r="P18" s="21" t="s">
        <v>16</v>
      </c>
      <c r="Q18" s="134">
        <f t="shared" si="2"/>
      </c>
      <c r="R18" s="271">
        <f>Отчет!$Q$4</f>
        <v>937015</v>
      </c>
    </row>
    <row r="19" spans="1:18" ht="12.75">
      <c r="A19" s="106"/>
      <c r="B19" s="125"/>
      <c r="C19" s="112"/>
      <c r="D19" s="112"/>
      <c r="E19" s="173"/>
      <c r="F19" s="39" t="str">
        <f>Отчет!$C$4</f>
        <v>МБОУ СОШ № 153</v>
      </c>
      <c r="G19" s="176"/>
      <c r="H19" s="270">
        <f t="shared" si="0"/>
        <v>0</v>
      </c>
      <c r="I19" s="108"/>
      <c r="J19" s="100"/>
      <c r="K19" s="108"/>
      <c r="L19" s="113"/>
      <c r="M19" s="4" t="e">
        <f t="shared" si="1"/>
        <v>#DIV/0!</v>
      </c>
      <c r="N19" s="110"/>
      <c r="O19" s="39"/>
      <c r="P19" s="105" t="s">
        <v>16</v>
      </c>
      <c r="Q19" s="134">
        <f t="shared" si="2"/>
      </c>
      <c r="R19" s="271">
        <f>Отчет!$Q$4</f>
        <v>937015</v>
      </c>
    </row>
    <row r="20" spans="1:18" ht="12.75">
      <c r="A20" s="3"/>
      <c r="B20" s="21"/>
      <c r="C20" s="21"/>
      <c r="D20" s="21"/>
      <c r="E20" s="170"/>
      <c r="F20" s="39" t="str">
        <f>Отчет!$C$4</f>
        <v>МБОУ СОШ № 153</v>
      </c>
      <c r="G20" s="176"/>
      <c r="H20" s="270">
        <f t="shared" si="0"/>
        <v>0</v>
      </c>
      <c r="I20" s="46"/>
      <c r="J20" s="39"/>
      <c r="K20" s="163"/>
      <c r="L20" s="13"/>
      <c r="M20" s="4" t="e">
        <f t="shared" si="1"/>
        <v>#DIV/0!</v>
      </c>
      <c r="N20" s="3"/>
      <c r="O20" s="39"/>
      <c r="P20" s="21" t="s">
        <v>16</v>
      </c>
      <c r="Q20" s="134">
        <f t="shared" si="2"/>
      </c>
      <c r="R20" s="271">
        <f>Отчет!$Q$4</f>
        <v>937015</v>
      </c>
    </row>
    <row r="21" spans="1:16" ht="12.75">
      <c r="A21" s="69"/>
      <c r="B21" s="25"/>
      <c r="C21" s="25"/>
      <c r="D21" s="25"/>
      <c r="E21" s="70"/>
      <c r="F21" s="73"/>
      <c r="G21" s="25"/>
      <c r="H21" s="25"/>
      <c r="I21" s="49"/>
      <c r="J21" s="73"/>
      <c r="K21" s="49"/>
      <c r="L21" s="78"/>
      <c r="M21" s="71"/>
      <c r="N21" s="69"/>
      <c r="O21" s="164"/>
      <c r="P21" s="25"/>
    </row>
    <row r="22" spans="1:16" ht="12.75">
      <c r="A22" s="69"/>
      <c r="B22" s="25"/>
      <c r="C22" s="25"/>
      <c r="D22" s="25"/>
      <c r="E22" s="70"/>
      <c r="F22" s="73"/>
      <c r="G22" s="25"/>
      <c r="H22" s="25"/>
      <c r="I22" s="49"/>
      <c r="J22" s="73"/>
      <c r="K22" s="49"/>
      <c r="L22" s="78"/>
      <c r="M22" s="71"/>
      <c r="N22" s="69"/>
      <c r="O22" s="164"/>
      <c r="P22" s="25"/>
    </row>
    <row r="23" spans="1:16" ht="12.75">
      <c r="A23" s="69"/>
      <c r="B23" s="25"/>
      <c r="C23" s="25"/>
      <c r="D23" s="25"/>
      <c r="E23" s="70"/>
      <c r="F23" s="73"/>
      <c r="G23" s="25"/>
      <c r="H23" s="25"/>
      <c r="I23" s="49"/>
      <c r="J23" s="73"/>
      <c r="K23" s="49"/>
      <c r="L23" s="78"/>
      <c r="M23" s="71"/>
      <c r="N23" s="69"/>
      <c r="O23" s="164"/>
      <c r="P23" s="25"/>
    </row>
    <row r="24" spans="1:16" ht="12.75">
      <c r="A24" s="69"/>
      <c r="B24" s="25"/>
      <c r="C24" s="25"/>
      <c r="D24" s="25"/>
      <c r="E24" s="70"/>
      <c r="F24" s="73"/>
      <c r="G24" s="25"/>
      <c r="H24" s="25"/>
      <c r="I24" s="49"/>
      <c r="J24" s="73"/>
      <c r="K24" s="49"/>
      <c r="L24" s="78"/>
      <c r="M24" s="71"/>
      <c r="N24" s="69"/>
      <c r="O24" s="164"/>
      <c r="P24" s="25"/>
    </row>
    <row r="25" spans="1:16" ht="12.75">
      <c r="A25" s="69"/>
      <c r="B25" s="25"/>
      <c r="C25" s="25"/>
      <c r="D25" s="25"/>
      <c r="E25" s="70"/>
      <c r="F25" s="73"/>
      <c r="G25" s="25"/>
      <c r="H25" s="25"/>
      <c r="I25" s="49"/>
      <c r="J25" s="73"/>
      <c r="K25" s="49"/>
      <c r="L25" s="78"/>
      <c r="M25" s="71"/>
      <c r="N25" s="69"/>
      <c r="O25" s="164"/>
      <c r="P25" s="25"/>
    </row>
    <row r="26" spans="1:16" ht="12.75">
      <c r="A26" s="69"/>
      <c r="B26" s="25"/>
      <c r="C26" s="25"/>
      <c r="D26" s="25"/>
      <c r="E26" s="70"/>
      <c r="F26" s="73"/>
      <c r="G26" s="25"/>
      <c r="H26" s="25"/>
      <c r="I26" s="49"/>
      <c r="J26" s="73"/>
      <c r="K26" s="49"/>
      <c r="L26" s="78"/>
      <c r="M26" s="71"/>
      <c r="N26" s="69"/>
      <c r="O26" s="164"/>
      <c r="P26" s="25"/>
    </row>
    <row r="27" spans="1:16" ht="12.75">
      <c r="A27" s="69"/>
      <c r="B27" s="25"/>
      <c r="C27" s="25"/>
      <c r="D27" s="25"/>
      <c r="E27" s="70"/>
      <c r="F27" s="73"/>
      <c r="G27" s="25"/>
      <c r="H27" s="25"/>
      <c r="I27" s="49"/>
      <c r="J27" s="73"/>
      <c r="K27" s="49"/>
      <c r="L27" s="78"/>
      <c r="M27" s="71"/>
      <c r="N27" s="69"/>
      <c r="O27" s="164"/>
      <c r="P27" s="25"/>
    </row>
    <row r="28" spans="1:16" ht="12.75">
      <c r="A28" s="69"/>
      <c r="B28" s="25"/>
      <c r="C28" s="25"/>
      <c r="D28" s="25"/>
      <c r="E28" s="70"/>
      <c r="F28" s="73"/>
      <c r="G28" s="25"/>
      <c r="H28" s="25"/>
      <c r="I28" s="49"/>
      <c r="J28" s="73"/>
      <c r="K28" s="49"/>
      <c r="L28" s="78"/>
      <c r="M28" s="71"/>
      <c r="N28" s="69"/>
      <c r="O28" s="164"/>
      <c r="P28" s="25"/>
    </row>
    <row r="29" spans="1:16" ht="12.75">
      <c r="A29" s="69"/>
      <c r="B29" s="25"/>
      <c r="C29" s="25"/>
      <c r="D29" s="25"/>
      <c r="E29" s="70"/>
      <c r="F29" s="73"/>
      <c r="G29" s="25"/>
      <c r="H29" s="25"/>
      <c r="I29" s="49"/>
      <c r="J29" s="73"/>
      <c r="K29" s="49"/>
      <c r="L29" s="78"/>
      <c r="M29" s="71"/>
      <c r="N29" s="69"/>
      <c r="O29" s="164"/>
      <c r="P29" s="25"/>
    </row>
    <row r="30" spans="1:16" ht="12.75">
      <c r="A30" s="69"/>
      <c r="B30" s="25"/>
      <c r="C30" s="25"/>
      <c r="D30" s="25"/>
      <c r="E30" s="70"/>
      <c r="F30" s="73"/>
      <c r="G30" s="25"/>
      <c r="H30" s="25"/>
      <c r="I30" s="49"/>
      <c r="J30" s="73"/>
      <c r="K30" s="49"/>
      <c r="L30" s="78"/>
      <c r="M30" s="71"/>
      <c r="N30" s="69"/>
      <c r="O30" s="164"/>
      <c r="P30" s="25"/>
    </row>
    <row r="31" spans="1:16" ht="12.75">
      <c r="A31" s="69"/>
      <c r="B31" s="25"/>
      <c r="C31" s="25"/>
      <c r="D31" s="25"/>
      <c r="E31" s="70"/>
      <c r="F31" s="73"/>
      <c r="G31" s="25"/>
      <c r="H31" s="25"/>
      <c r="I31" s="49"/>
      <c r="J31" s="73"/>
      <c r="K31" s="49"/>
      <c r="L31" s="78"/>
      <c r="M31" s="71"/>
      <c r="N31" s="69"/>
      <c r="O31" s="164"/>
      <c r="P31" s="25"/>
    </row>
    <row r="32" spans="1:16" ht="12.75">
      <c r="A32" s="69"/>
      <c r="B32" s="25"/>
      <c r="C32" s="25"/>
      <c r="D32" s="25"/>
      <c r="E32" s="70"/>
      <c r="F32" s="73"/>
      <c r="G32" s="25"/>
      <c r="H32" s="25"/>
      <c r="I32" s="49"/>
      <c r="J32" s="73"/>
      <c r="K32" s="49"/>
      <c r="L32" s="78"/>
      <c r="M32" s="71"/>
      <c r="N32" s="69"/>
      <c r="O32" s="164"/>
      <c r="P32" s="25"/>
    </row>
    <row r="33" spans="1:16" ht="12.75">
      <c r="A33" s="69"/>
      <c r="B33" s="25"/>
      <c r="C33" s="25"/>
      <c r="D33" s="25"/>
      <c r="E33" s="70"/>
      <c r="F33" s="73"/>
      <c r="G33" s="25"/>
      <c r="H33" s="25"/>
      <c r="I33" s="49"/>
      <c r="J33" s="73"/>
      <c r="K33" s="49"/>
      <c r="L33" s="78"/>
      <c r="M33" s="71"/>
      <c r="N33" s="69"/>
      <c r="O33" s="164"/>
      <c r="P33" s="25"/>
    </row>
    <row r="34" spans="3:16" ht="12.75">
      <c r="C34" s="25"/>
      <c r="D34" s="25"/>
      <c r="E34" s="70"/>
      <c r="F34" s="73"/>
      <c r="G34" s="25"/>
      <c r="H34" s="25"/>
      <c r="I34" s="49"/>
      <c r="J34" s="73"/>
      <c r="K34" s="49"/>
      <c r="L34" s="78"/>
      <c r="M34" s="71"/>
      <c r="N34" s="69"/>
      <c r="O34" s="164"/>
      <c r="P34" s="25"/>
    </row>
    <row r="35" spans="3:16" ht="12.75">
      <c r="C35" s="25"/>
      <c r="D35" s="25"/>
      <c r="E35" s="70"/>
      <c r="F35" s="73"/>
      <c r="G35" s="25"/>
      <c r="H35" s="25"/>
      <c r="I35" s="49"/>
      <c r="J35" s="73"/>
      <c r="K35" s="49"/>
      <c r="L35" s="78"/>
      <c r="M35" s="71"/>
      <c r="N35" s="69"/>
      <c r="O35" s="164"/>
      <c r="P35" s="25"/>
    </row>
    <row r="36" spans="3:16" ht="12.75">
      <c r="C36" s="25"/>
      <c r="D36" s="25"/>
      <c r="E36" s="70"/>
      <c r="F36" s="73"/>
      <c r="G36" s="25"/>
      <c r="H36" s="25"/>
      <c r="I36" s="49"/>
      <c r="J36" s="73"/>
      <c r="K36" s="49"/>
      <c r="L36" s="78"/>
      <c r="M36" s="71"/>
      <c r="N36" s="69"/>
      <c r="O36" s="164"/>
      <c r="P36" s="25"/>
    </row>
    <row r="37" spans="3:16" ht="12.75">
      <c r="C37" s="25"/>
      <c r="D37" s="25"/>
      <c r="E37" s="70"/>
      <c r="F37" s="73"/>
      <c r="G37" s="25"/>
      <c r="H37" s="25"/>
      <c r="I37" s="49"/>
      <c r="J37" s="73"/>
      <c r="K37" s="49"/>
      <c r="L37" s="78"/>
      <c r="M37" s="71"/>
      <c r="N37" s="69"/>
      <c r="O37" s="164"/>
      <c r="P37" s="25"/>
    </row>
    <row r="38" spans="3:16" ht="12.75">
      <c r="C38" s="25"/>
      <c r="D38" s="25"/>
      <c r="E38" s="70"/>
      <c r="F38" s="73"/>
      <c r="G38" s="25"/>
      <c r="H38" s="25"/>
      <c r="I38" s="49"/>
      <c r="J38" s="73"/>
      <c r="K38" s="49"/>
      <c r="L38" s="78"/>
      <c r="M38" s="71"/>
      <c r="N38" s="69"/>
      <c r="O38" s="164"/>
      <c r="P38" s="25"/>
    </row>
    <row r="39" spans="3:16" ht="12.75">
      <c r="C39" s="25"/>
      <c r="D39" s="25"/>
      <c r="E39" s="70"/>
      <c r="F39" s="73"/>
      <c r="G39" s="25"/>
      <c r="H39" s="25"/>
      <c r="I39" s="49"/>
      <c r="J39" s="73"/>
      <c r="K39" s="49"/>
      <c r="L39" s="78"/>
      <c r="M39" s="71"/>
      <c r="N39" s="69"/>
      <c r="O39" s="164"/>
      <c r="P39" s="25"/>
    </row>
    <row r="40" spans="3:16" ht="12.75">
      <c r="C40" s="25"/>
      <c r="D40" s="25"/>
      <c r="E40" s="70"/>
      <c r="F40" s="73"/>
      <c r="G40" s="25"/>
      <c r="H40" s="25"/>
      <c r="I40" s="49"/>
      <c r="J40" s="73"/>
      <c r="K40" s="49"/>
      <c r="L40" s="78"/>
      <c r="M40" s="71"/>
      <c r="N40" s="69"/>
      <c r="O40" s="164"/>
      <c r="P40" s="25"/>
    </row>
    <row r="41" spans="3:16" ht="12.75">
      <c r="C41" s="25"/>
      <c r="D41" s="25"/>
      <c r="E41" s="70"/>
      <c r="F41" s="73"/>
      <c r="G41" s="25"/>
      <c r="H41" s="25"/>
      <c r="I41" s="49"/>
      <c r="J41" s="73"/>
      <c r="K41" s="49"/>
      <c r="L41" s="78"/>
      <c r="M41" s="71"/>
      <c r="N41" s="69"/>
      <c r="O41" s="164"/>
      <c r="P41" s="25"/>
    </row>
    <row r="42" spans="3:16" ht="12.75">
      <c r="C42" s="25"/>
      <c r="D42" s="25"/>
      <c r="E42" s="70"/>
      <c r="F42" s="73"/>
      <c r="G42" s="25"/>
      <c r="H42" s="25"/>
      <c r="I42" s="49"/>
      <c r="J42" s="73"/>
      <c r="K42" s="49"/>
      <c r="L42" s="78"/>
      <c r="M42" s="71"/>
      <c r="N42" s="69"/>
      <c r="O42" s="164"/>
      <c r="P42" s="25"/>
    </row>
    <row r="43" spans="3:16" ht="12.75">
      <c r="C43" s="25"/>
      <c r="D43" s="25"/>
      <c r="E43" s="70"/>
      <c r="F43" s="73"/>
      <c r="G43" s="25"/>
      <c r="H43" s="25"/>
      <c r="I43" s="49"/>
      <c r="J43" s="73"/>
      <c r="K43" s="49"/>
      <c r="L43" s="78"/>
      <c r="M43" s="71"/>
      <c r="N43" s="69"/>
      <c r="O43" s="164"/>
      <c r="P43" s="25"/>
    </row>
    <row r="44" spans="3:16" ht="12.75">
      <c r="C44" s="25"/>
      <c r="D44" s="25"/>
      <c r="E44" s="70"/>
      <c r="F44" s="73"/>
      <c r="G44" s="25"/>
      <c r="H44" s="25"/>
      <c r="I44" s="49"/>
      <c r="J44" s="73"/>
      <c r="K44" s="49"/>
      <c r="L44" s="78"/>
      <c r="M44" s="71"/>
      <c r="N44" s="69"/>
      <c r="O44" s="164"/>
      <c r="P44" s="25"/>
    </row>
    <row r="45" spans="3:16" ht="12.75">
      <c r="C45" s="25"/>
      <c r="D45" s="25"/>
      <c r="E45" s="70"/>
      <c r="F45" s="73"/>
      <c r="G45" s="25"/>
      <c r="H45" s="25"/>
      <c r="I45" s="49"/>
      <c r="J45" s="73"/>
      <c r="K45" s="49"/>
      <c r="L45" s="78"/>
      <c r="M45" s="71"/>
      <c r="N45" s="69"/>
      <c r="O45" s="164"/>
      <c r="P45" s="25"/>
    </row>
    <row r="46" spans="3:16" ht="12.75">
      <c r="C46" s="25"/>
      <c r="D46" s="25"/>
      <c r="E46" s="70"/>
      <c r="F46" s="73"/>
      <c r="G46" s="25"/>
      <c r="H46" s="25"/>
      <c r="I46" s="49"/>
      <c r="J46" s="73"/>
      <c r="K46" s="49"/>
      <c r="L46" s="78"/>
      <c r="M46" s="71"/>
      <c r="N46" s="69"/>
      <c r="O46" s="164"/>
      <c r="P46" s="25"/>
    </row>
    <row r="47" spans="3:16" ht="12.75">
      <c r="C47" s="25"/>
      <c r="D47" s="25"/>
      <c r="E47" s="70"/>
      <c r="F47" s="73"/>
      <c r="G47" s="25"/>
      <c r="H47" s="25"/>
      <c r="I47" s="49"/>
      <c r="J47" s="73"/>
      <c r="K47" s="49"/>
      <c r="L47" s="78"/>
      <c r="M47" s="71"/>
      <c r="N47" s="69"/>
      <c r="O47" s="164"/>
      <c r="P47" s="25"/>
    </row>
    <row r="48" spans="3:16" ht="12.75">
      <c r="C48" s="25"/>
      <c r="D48" s="25"/>
      <c r="E48" s="70"/>
      <c r="F48" s="73"/>
      <c r="G48" s="25"/>
      <c r="H48" s="25"/>
      <c r="I48" s="49"/>
      <c r="J48" s="73"/>
      <c r="K48" s="49"/>
      <c r="L48" s="78"/>
      <c r="M48" s="71"/>
      <c r="N48" s="69"/>
      <c r="O48" s="164"/>
      <c r="P48" s="25"/>
    </row>
    <row r="49" spans="3:16" ht="12.75">
      <c r="C49" s="25"/>
      <c r="D49" s="25"/>
      <c r="E49" s="70"/>
      <c r="F49" s="73"/>
      <c r="G49" s="25"/>
      <c r="H49" s="25"/>
      <c r="I49" s="49"/>
      <c r="J49" s="73"/>
      <c r="K49" s="49"/>
      <c r="L49" s="78"/>
      <c r="M49" s="71"/>
      <c r="N49" s="69"/>
      <c r="O49" s="164"/>
      <c r="P49" s="25"/>
    </row>
    <row r="50" spans="3:16" ht="12.75">
      <c r="C50" s="25"/>
      <c r="D50" s="25"/>
      <c r="E50" s="70"/>
      <c r="F50" s="73"/>
      <c r="G50" s="25"/>
      <c r="H50" s="25"/>
      <c r="I50" s="49"/>
      <c r="J50" s="73"/>
      <c r="K50" s="49"/>
      <c r="L50" s="78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15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B1">
      <selection activeCell="Q25" sqref="Q25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1.75390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62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3">
        <f>IF(COUNTIF(Q1:Q1000,"Введите дату рождения")&lt;&gt;0,"1","")</f>
      </c>
    </row>
    <row r="2" spans="1:18" ht="12.75">
      <c r="A2" s="308">
        <v>1</v>
      </c>
      <c r="B2" s="39" t="s">
        <v>486</v>
      </c>
      <c r="C2" s="39" t="s">
        <v>487</v>
      </c>
      <c r="D2" s="39" t="s">
        <v>470</v>
      </c>
      <c r="E2" s="39" t="s">
        <v>99</v>
      </c>
      <c r="F2" s="39" t="s">
        <v>153</v>
      </c>
      <c r="G2" s="39">
        <v>7</v>
      </c>
      <c r="H2" s="270">
        <v>7</v>
      </c>
      <c r="I2" s="41"/>
      <c r="J2" s="39" t="s">
        <v>126</v>
      </c>
      <c r="K2" s="41">
        <v>28</v>
      </c>
      <c r="L2" s="39">
        <v>40</v>
      </c>
      <c r="M2" s="4">
        <f aca="true" t="shared" si="0" ref="M2:M21">K2/L2</f>
        <v>0.7</v>
      </c>
      <c r="N2" s="39" t="s">
        <v>49</v>
      </c>
      <c r="O2" s="39" t="s">
        <v>76</v>
      </c>
      <c r="P2" s="21" t="s">
        <v>11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308">
        <v>2</v>
      </c>
      <c r="B3" s="39" t="s">
        <v>529</v>
      </c>
      <c r="C3" s="39" t="s">
        <v>377</v>
      </c>
      <c r="D3" s="39" t="s">
        <v>386</v>
      </c>
      <c r="E3" s="39" t="s">
        <v>99</v>
      </c>
      <c r="F3" s="39" t="s">
        <v>153</v>
      </c>
      <c r="G3" s="39">
        <v>7</v>
      </c>
      <c r="H3" s="270">
        <v>7</v>
      </c>
      <c r="I3" s="41"/>
      <c r="J3" s="39" t="s">
        <v>126</v>
      </c>
      <c r="K3" s="41">
        <v>17</v>
      </c>
      <c r="L3" s="39">
        <v>40</v>
      </c>
      <c r="M3" s="4">
        <f t="shared" si="0"/>
        <v>0.425</v>
      </c>
      <c r="N3" s="39" t="s">
        <v>50</v>
      </c>
      <c r="O3" s="39" t="s">
        <v>76</v>
      </c>
      <c r="P3" s="21" t="s">
        <v>11</v>
      </c>
      <c r="Q3" s="134">
        <f aca="true" t="shared" si="1" ref="Q3:Q21">IF(G3=H3,"","Введите дату рождения")</f>
      </c>
      <c r="R3" s="271">
        <f>Отчет!$Q$4</f>
        <v>937015</v>
      </c>
    </row>
    <row r="4" spans="1:18" ht="12.75">
      <c r="A4" s="308">
        <v>3</v>
      </c>
      <c r="B4" s="39" t="s">
        <v>530</v>
      </c>
      <c r="C4" s="39" t="s">
        <v>531</v>
      </c>
      <c r="D4" s="39" t="s">
        <v>496</v>
      </c>
      <c r="E4" s="39" t="s">
        <v>98</v>
      </c>
      <c r="F4" s="39" t="s">
        <v>153</v>
      </c>
      <c r="G4" s="39">
        <v>7</v>
      </c>
      <c r="H4" s="270">
        <v>7</v>
      </c>
      <c r="I4" s="41"/>
      <c r="J4" s="39" t="s">
        <v>126</v>
      </c>
      <c r="K4" s="41">
        <v>12</v>
      </c>
      <c r="L4" s="39">
        <v>40</v>
      </c>
      <c r="M4" s="4">
        <f t="shared" si="0"/>
        <v>0.3</v>
      </c>
      <c r="N4" s="39" t="s">
        <v>58</v>
      </c>
      <c r="O4" s="39" t="s">
        <v>76</v>
      </c>
      <c r="P4" s="21" t="s">
        <v>11</v>
      </c>
      <c r="Q4" s="134">
        <f t="shared" si="1"/>
      </c>
      <c r="R4" s="271">
        <f>Отчет!$Q$4</f>
        <v>937015</v>
      </c>
    </row>
    <row r="5" spans="1:18" ht="12.75">
      <c r="A5" s="308">
        <v>4</v>
      </c>
      <c r="B5" s="39" t="s">
        <v>532</v>
      </c>
      <c r="C5" s="39" t="s">
        <v>533</v>
      </c>
      <c r="D5" s="39" t="s">
        <v>534</v>
      </c>
      <c r="E5" s="39" t="s">
        <v>98</v>
      </c>
      <c r="F5" s="39" t="s">
        <v>153</v>
      </c>
      <c r="G5" s="39">
        <v>7</v>
      </c>
      <c r="H5" s="39">
        <v>7</v>
      </c>
      <c r="I5" s="41"/>
      <c r="J5" s="39" t="s">
        <v>126</v>
      </c>
      <c r="K5" s="41">
        <v>10</v>
      </c>
      <c r="L5" s="39">
        <v>40</v>
      </c>
      <c r="M5" s="4">
        <f t="shared" si="0"/>
        <v>0.25</v>
      </c>
      <c r="N5" s="39" t="s">
        <v>58</v>
      </c>
      <c r="O5" s="39" t="s">
        <v>76</v>
      </c>
      <c r="P5" s="21" t="s">
        <v>11</v>
      </c>
      <c r="Q5" s="134">
        <f t="shared" si="1"/>
      </c>
      <c r="R5" s="271">
        <f>Отчет!$Q$4</f>
        <v>937015</v>
      </c>
    </row>
    <row r="6" spans="1:18" ht="12.75">
      <c r="A6" s="308">
        <v>5</v>
      </c>
      <c r="B6" s="39" t="s">
        <v>493</v>
      </c>
      <c r="C6" s="39" t="s">
        <v>436</v>
      </c>
      <c r="D6" s="39" t="s">
        <v>535</v>
      </c>
      <c r="E6" s="39" t="s">
        <v>98</v>
      </c>
      <c r="F6" s="39" t="s">
        <v>153</v>
      </c>
      <c r="G6" s="39">
        <v>7</v>
      </c>
      <c r="H6" s="39">
        <v>7</v>
      </c>
      <c r="I6" s="41"/>
      <c r="J6" s="39" t="s">
        <v>126</v>
      </c>
      <c r="K6" s="41">
        <v>4</v>
      </c>
      <c r="L6" s="39">
        <v>40</v>
      </c>
      <c r="M6" s="4">
        <f t="shared" si="0"/>
        <v>0.1</v>
      </c>
      <c r="N6" s="39" t="s">
        <v>58</v>
      </c>
      <c r="O6" s="39" t="s">
        <v>76</v>
      </c>
      <c r="P6" s="21" t="s">
        <v>11</v>
      </c>
      <c r="Q6" s="134">
        <f t="shared" si="1"/>
      </c>
      <c r="R6" s="271">
        <f>Отчет!$Q$4</f>
        <v>937015</v>
      </c>
    </row>
    <row r="7" spans="1:18" ht="12.75">
      <c r="A7" s="308">
        <v>6</v>
      </c>
      <c r="B7" s="21" t="s">
        <v>551</v>
      </c>
      <c r="C7" s="39" t="s">
        <v>550</v>
      </c>
      <c r="D7" s="39" t="s">
        <v>371</v>
      </c>
      <c r="E7" s="39" t="s">
        <v>99</v>
      </c>
      <c r="F7" s="39" t="s">
        <v>153</v>
      </c>
      <c r="G7" s="39">
        <v>8</v>
      </c>
      <c r="H7" s="270">
        <f aca="true" t="shared" si="2" ref="H7:H21">G7</f>
        <v>8</v>
      </c>
      <c r="I7" s="39"/>
      <c r="J7" s="39" t="s">
        <v>126</v>
      </c>
      <c r="K7" s="165">
        <v>4</v>
      </c>
      <c r="L7" s="39">
        <v>40</v>
      </c>
      <c r="M7" s="4">
        <f t="shared" si="0"/>
        <v>0.1</v>
      </c>
      <c r="N7" s="39" t="s">
        <v>58</v>
      </c>
      <c r="O7" s="39" t="s">
        <v>76</v>
      </c>
      <c r="P7" s="21" t="s">
        <v>11</v>
      </c>
      <c r="Q7" s="134">
        <f t="shared" si="1"/>
      </c>
      <c r="R7" s="271">
        <f>Отчет!$Q$4</f>
        <v>937015</v>
      </c>
    </row>
    <row r="8" spans="1:18" ht="12.75">
      <c r="A8" s="308">
        <v>7</v>
      </c>
      <c r="B8" s="21" t="s">
        <v>549</v>
      </c>
      <c r="C8" s="39" t="s">
        <v>548</v>
      </c>
      <c r="D8" s="39" t="s">
        <v>480</v>
      </c>
      <c r="E8" s="39" t="s">
        <v>99</v>
      </c>
      <c r="F8" s="39" t="s">
        <v>153</v>
      </c>
      <c r="G8" s="39">
        <v>8</v>
      </c>
      <c r="H8" s="270">
        <f t="shared" si="2"/>
        <v>8</v>
      </c>
      <c r="I8" s="39"/>
      <c r="J8" s="39" t="s">
        <v>126</v>
      </c>
      <c r="K8" s="165">
        <v>5</v>
      </c>
      <c r="L8" s="39">
        <v>40</v>
      </c>
      <c r="M8" s="4">
        <f t="shared" si="0"/>
        <v>0.125</v>
      </c>
      <c r="N8" s="39" t="s">
        <v>58</v>
      </c>
      <c r="O8" s="39" t="s">
        <v>76</v>
      </c>
      <c r="P8" s="21" t="s">
        <v>11</v>
      </c>
      <c r="Q8" s="134">
        <f t="shared" si="1"/>
      </c>
      <c r="R8" s="271">
        <f>Отчет!$Q$4</f>
        <v>937015</v>
      </c>
    </row>
    <row r="9" spans="1:18" ht="12.75">
      <c r="A9" s="308">
        <v>8</v>
      </c>
      <c r="B9" s="21" t="s">
        <v>547</v>
      </c>
      <c r="C9" s="39" t="s">
        <v>546</v>
      </c>
      <c r="D9" s="39" t="s">
        <v>545</v>
      </c>
      <c r="E9" s="42" t="s">
        <v>98</v>
      </c>
      <c r="F9" s="39" t="s">
        <v>153</v>
      </c>
      <c r="G9" s="176">
        <v>8</v>
      </c>
      <c r="H9" s="270">
        <f t="shared" si="2"/>
        <v>8</v>
      </c>
      <c r="I9" s="39"/>
      <c r="J9" s="39" t="s">
        <v>126</v>
      </c>
      <c r="K9" s="165">
        <v>2</v>
      </c>
      <c r="L9" s="39">
        <v>40</v>
      </c>
      <c r="M9" s="4">
        <f t="shared" si="0"/>
        <v>0.05</v>
      </c>
      <c r="N9" s="39" t="s">
        <v>58</v>
      </c>
      <c r="O9" s="39" t="s">
        <v>76</v>
      </c>
      <c r="P9" s="21" t="s">
        <v>11</v>
      </c>
      <c r="Q9" s="134">
        <f t="shared" si="1"/>
      </c>
      <c r="R9" s="271">
        <f>Отчет!$Q$4</f>
        <v>937015</v>
      </c>
    </row>
    <row r="10" spans="1:18" ht="12.75">
      <c r="A10" s="308">
        <v>9</v>
      </c>
      <c r="B10" s="21" t="s">
        <v>544</v>
      </c>
      <c r="C10" s="39" t="s">
        <v>543</v>
      </c>
      <c r="D10" s="39" t="s">
        <v>437</v>
      </c>
      <c r="E10" s="42" t="s">
        <v>98</v>
      </c>
      <c r="F10" s="39" t="s">
        <v>153</v>
      </c>
      <c r="G10" s="176">
        <v>8</v>
      </c>
      <c r="H10" s="270">
        <f t="shared" si="2"/>
        <v>8</v>
      </c>
      <c r="I10" s="39"/>
      <c r="J10" s="39" t="s">
        <v>126</v>
      </c>
      <c r="K10" s="165">
        <v>2</v>
      </c>
      <c r="L10" s="39">
        <v>40</v>
      </c>
      <c r="M10" s="4">
        <f t="shared" si="0"/>
        <v>0.05</v>
      </c>
      <c r="N10" s="39" t="s">
        <v>58</v>
      </c>
      <c r="O10" s="39" t="s">
        <v>76</v>
      </c>
      <c r="P10" s="21" t="s">
        <v>11</v>
      </c>
      <c r="Q10" s="134">
        <f t="shared" si="1"/>
      </c>
      <c r="R10" s="271">
        <f>Отчет!$Q$4</f>
        <v>937015</v>
      </c>
    </row>
    <row r="11" spans="1:18" ht="12.75">
      <c r="A11" s="308">
        <v>10</v>
      </c>
      <c r="B11" s="21" t="s">
        <v>542</v>
      </c>
      <c r="C11" s="39" t="s">
        <v>541</v>
      </c>
      <c r="D11" s="39" t="s">
        <v>467</v>
      </c>
      <c r="E11" s="42" t="s">
        <v>98</v>
      </c>
      <c r="F11" s="39" t="s">
        <v>153</v>
      </c>
      <c r="G11" s="176">
        <v>8</v>
      </c>
      <c r="H11" s="270">
        <f t="shared" si="2"/>
        <v>8</v>
      </c>
      <c r="I11" s="39"/>
      <c r="J11" s="39" t="s">
        <v>126</v>
      </c>
      <c r="K11" s="165">
        <v>6</v>
      </c>
      <c r="L11" s="39">
        <v>40</v>
      </c>
      <c r="M11" s="4">
        <f t="shared" si="0"/>
        <v>0.15</v>
      </c>
      <c r="N11" s="39" t="s">
        <v>58</v>
      </c>
      <c r="O11" s="39" t="s">
        <v>76</v>
      </c>
      <c r="P11" s="21" t="s">
        <v>11</v>
      </c>
      <c r="Q11" s="134">
        <f t="shared" si="1"/>
      </c>
      <c r="R11" s="271">
        <f>Отчет!$Q$4</f>
        <v>937015</v>
      </c>
    </row>
    <row r="12" spans="1:18" ht="12.75">
      <c r="A12" s="308">
        <v>11</v>
      </c>
      <c r="B12" s="21" t="s">
        <v>540</v>
      </c>
      <c r="C12" s="39" t="s">
        <v>436</v>
      </c>
      <c r="D12" s="39" t="s">
        <v>407</v>
      </c>
      <c r="E12" s="42" t="s">
        <v>98</v>
      </c>
      <c r="F12" s="39" t="s">
        <v>153</v>
      </c>
      <c r="G12" s="176">
        <v>8</v>
      </c>
      <c r="H12" s="270">
        <f t="shared" si="2"/>
        <v>8</v>
      </c>
      <c r="I12" s="39"/>
      <c r="J12" s="39" t="s">
        <v>126</v>
      </c>
      <c r="K12" s="165">
        <v>5</v>
      </c>
      <c r="L12" s="39">
        <v>40</v>
      </c>
      <c r="M12" s="4">
        <f t="shared" si="0"/>
        <v>0.125</v>
      </c>
      <c r="N12" s="39" t="s">
        <v>58</v>
      </c>
      <c r="O12" s="39" t="s">
        <v>76</v>
      </c>
      <c r="P12" s="21" t="s">
        <v>11</v>
      </c>
      <c r="Q12" s="134">
        <f t="shared" si="1"/>
      </c>
      <c r="R12" s="271">
        <f>Отчет!$Q$4</f>
        <v>937015</v>
      </c>
    </row>
    <row r="13" spans="1:18" ht="12.75">
      <c r="A13" s="308">
        <v>12</v>
      </c>
      <c r="B13" s="21" t="s">
        <v>539</v>
      </c>
      <c r="C13" s="39" t="s">
        <v>419</v>
      </c>
      <c r="D13" s="39" t="s">
        <v>538</v>
      </c>
      <c r="E13" s="42" t="s">
        <v>99</v>
      </c>
      <c r="F13" s="39" t="s">
        <v>153</v>
      </c>
      <c r="G13" s="176">
        <v>8</v>
      </c>
      <c r="H13" s="270">
        <f t="shared" si="2"/>
        <v>8</v>
      </c>
      <c r="I13" s="39"/>
      <c r="J13" s="39" t="s">
        <v>126</v>
      </c>
      <c r="K13" s="165">
        <v>4</v>
      </c>
      <c r="L13" s="39">
        <v>40</v>
      </c>
      <c r="M13" s="4">
        <f t="shared" si="0"/>
        <v>0.1</v>
      </c>
      <c r="N13" s="39" t="s">
        <v>58</v>
      </c>
      <c r="O13" s="39" t="s">
        <v>76</v>
      </c>
      <c r="P13" s="21" t="s">
        <v>11</v>
      </c>
      <c r="Q13" s="134">
        <f t="shared" si="1"/>
      </c>
      <c r="R13" s="271">
        <f>Отчет!$Q$4</f>
        <v>937015</v>
      </c>
    </row>
    <row r="14" spans="1:18" ht="12.75">
      <c r="A14" s="308">
        <v>13</v>
      </c>
      <c r="B14" s="21" t="s">
        <v>537</v>
      </c>
      <c r="C14" s="39" t="s">
        <v>416</v>
      </c>
      <c r="D14" s="39" t="s">
        <v>536</v>
      </c>
      <c r="E14" s="42" t="s">
        <v>98</v>
      </c>
      <c r="F14" s="39" t="s">
        <v>153</v>
      </c>
      <c r="G14" s="176">
        <v>8</v>
      </c>
      <c r="H14" s="270">
        <f t="shared" si="2"/>
        <v>8</v>
      </c>
      <c r="I14" s="39"/>
      <c r="J14" s="39" t="s">
        <v>126</v>
      </c>
      <c r="K14" s="165">
        <v>2</v>
      </c>
      <c r="L14" s="39">
        <v>40</v>
      </c>
      <c r="M14" s="4">
        <f t="shared" si="0"/>
        <v>0.05</v>
      </c>
      <c r="N14" s="39" t="s">
        <v>58</v>
      </c>
      <c r="O14" s="39" t="s">
        <v>76</v>
      </c>
      <c r="P14" s="21" t="s">
        <v>11</v>
      </c>
      <c r="Q14" s="134">
        <f t="shared" si="1"/>
      </c>
      <c r="R14" s="271">
        <f>Отчет!$Q$4</f>
        <v>937015</v>
      </c>
    </row>
    <row r="15" spans="1:18" ht="12.75">
      <c r="A15" s="308">
        <v>14</v>
      </c>
      <c r="B15" s="21" t="s">
        <v>554</v>
      </c>
      <c r="C15" s="39" t="s">
        <v>377</v>
      </c>
      <c r="D15" s="39" t="s">
        <v>378</v>
      </c>
      <c r="E15" s="42" t="s">
        <v>99</v>
      </c>
      <c r="F15" s="39" t="s">
        <v>153</v>
      </c>
      <c r="G15" s="176">
        <v>9</v>
      </c>
      <c r="H15" s="270">
        <f t="shared" si="2"/>
        <v>9</v>
      </c>
      <c r="I15" s="39"/>
      <c r="J15" s="39" t="s">
        <v>126</v>
      </c>
      <c r="K15" s="165">
        <v>6</v>
      </c>
      <c r="L15" s="39">
        <v>50</v>
      </c>
      <c r="M15" s="4">
        <f t="shared" si="0"/>
        <v>0.12</v>
      </c>
      <c r="N15" s="39" t="s">
        <v>58</v>
      </c>
      <c r="O15" s="39" t="s">
        <v>76</v>
      </c>
      <c r="P15" s="21" t="s">
        <v>11</v>
      </c>
      <c r="Q15" s="134">
        <f t="shared" si="1"/>
      </c>
      <c r="R15" s="271">
        <f>Отчет!$Q$4</f>
        <v>937015</v>
      </c>
    </row>
    <row r="16" spans="1:18" ht="12.75">
      <c r="A16" s="308">
        <v>15</v>
      </c>
      <c r="B16" s="21" t="s">
        <v>553</v>
      </c>
      <c r="C16" s="39" t="s">
        <v>552</v>
      </c>
      <c r="D16" s="39" t="s">
        <v>437</v>
      </c>
      <c r="E16" s="42" t="s">
        <v>98</v>
      </c>
      <c r="F16" s="39" t="s">
        <v>153</v>
      </c>
      <c r="G16" s="176">
        <v>9</v>
      </c>
      <c r="H16" s="270">
        <f t="shared" si="2"/>
        <v>9</v>
      </c>
      <c r="I16" s="39"/>
      <c r="J16" s="39" t="s">
        <v>126</v>
      </c>
      <c r="K16" s="165">
        <v>4</v>
      </c>
      <c r="L16" s="39">
        <v>50</v>
      </c>
      <c r="M16" s="4">
        <f t="shared" si="0"/>
        <v>0.08</v>
      </c>
      <c r="N16" s="39" t="s">
        <v>58</v>
      </c>
      <c r="O16" s="39" t="s">
        <v>76</v>
      </c>
      <c r="P16" s="21" t="s">
        <v>11</v>
      </c>
      <c r="Q16" s="134">
        <f t="shared" si="1"/>
      </c>
      <c r="R16" s="271">
        <f>Отчет!$Q$4</f>
        <v>937015</v>
      </c>
    </row>
    <row r="17" spans="1:18" ht="12.75">
      <c r="A17" s="308">
        <v>16</v>
      </c>
      <c r="B17" s="21" t="s">
        <v>558</v>
      </c>
      <c r="C17" s="39" t="s">
        <v>495</v>
      </c>
      <c r="D17" s="39" t="s">
        <v>535</v>
      </c>
      <c r="E17" s="42" t="s">
        <v>98</v>
      </c>
      <c r="F17" s="39" t="s">
        <v>153</v>
      </c>
      <c r="G17" s="176">
        <v>9</v>
      </c>
      <c r="H17" s="270">
        <f t="shared" si="2"/>
        <v>9</v>
      </c>
      <c r="I17" s="39"/>
      <c r="J17" s="39" t="s">
        <v>126</v>
      </c>
      <c r="K17" s="165">
        <v>2</v>
      </c>
      <c r="L17" s="39">
        <v>50</v>
      </c>
      <c r="M17" s="4">
        <f t="shared" si="0"/>
        <v>0.04</v>
      </c>
      <c r="N17" s="39" t="s">
        <v>58</v>
      </c>
      <c r="O17" s="39" t="s">
        <v>76</v>
      </c>
      <c r="P17" s="21" t="s">
        <v>11</v>
      </c>
      <c r="Q17" s="134">
        <f t="shared" si="1"/>
      </c>
      <c r="R17" s="271">
        <f>Отчет!$Q$4</f>
        <v>937015</v>
      </c>
    </row>
    <row r="18" spans="1:18" ht="12.75">
      <c r="A18" s="308">
        <v>17</v>
      </c>
      <c r="B18" s="39" t="s">
        <v>557</v>
      </c>
      <c r="C18" s="39" t="s">
        <v>445</v>
      </c>
      <c r="D18" s="39" t="s">
        <v>556</v>
      </c>
      <c r="E18" s="42" t="s">
        <v>98</v>
      </c>
      <c r="F18" s="39" t="s">
        <v>153</v>
      </c>
      <c r="G18" s="176">
        <v>9</v>
      </c>
      <c r="H18" s="270">
        <f t="shared" si="2"/>
        <v>9</v>
      </c>
      <c r="I18" s="41"/>
      <c r="J18" s="39" t="s">
        <v>126</v>
      </c>
      <c r="K18" s="41">
        <v>2</v>
      </c>
      <c r="L18" s="39">
        <v>50</v>
      </c>
      <c r="M18" s="4">
        <f t="shared" si="0"/>
        <v>0.04</v>
      </c>
      <c r="N18" s="39" t="s">
        <v>58</v>
      </c>
      <c r="O18" s="39" t="s">
        <v>76</v>
      </c>
      <c r="P18" s="21" t="s">
        <v>11</v>
      </c>
      <c r="Q18" s="134">
        <f t="shared" si="1"/>
      </c>
      <c r="R18" s="271">
        <f>Отчет!$Q$4</f>
        <v>937015</v>
      </c>
    </row>
    <row r="19" spans="1:18" ht="12.75">
      <c r="A19" s="308">
        <v>18</v>
      </c>
      <c r="B19" s="39" t="s">
        <v>555</v>
      </c>
      <c r="C19" s="39" t="s">
        <v>541</v>
      </c>
      <c r="D19" s="39" t="s">
        <v>401</v>
      </c>
      <c r="E19" s="42" t="s">
        <v>98</v>
      </c>
      <c r="F19" s="39" t="s">
        <v>153</v>
      </c>
      <c r="G19" s="176">
        <v>9</v>
      </c>
      <c r="H19" s="270">
        <f t="shared" si="2"/>
        <v>9</v>
      </c>
      <c r="I19" s="41"/>
      <c r="J19" s="39" t="s">
        <v>126</v>
      </c>
      <c r="K19" s="41">
        <v>2</v>
      </c>
      <c r="L19" s="39">
        <v>50</v>
      </c>
      <c r="M19" s="4">
        <f t="shared" si="0"/>
        <v>0.04</v>
      </c>
      <c r="N19" s="39" t="s">
        <v>58</v>
      </c>
      <c r="O19" s="39" t="s">
        <v>76</v>
      </c>
      <c r="P19" s="105" t="s">
        <v>11</v>
      </c>
      <c r="Q19" s="134">
        <f t="shared" si="1"/>
      </c>
      <c r="R19" s="271">
        <f>Отчет!$Q$4</f>
        <v>937015</v>
      </c>
    </row>
    <row r="20" spans="1:18" ht="12.75">
      <c r="A20" s="308">
        <v>19</v>
      </c>
      <c r="B20" s="3" t="s">
        <v>515</v>
      </c>
      <c r="C20" s="3" t="s">
        <v>517</v>
      </c>
      <c r="D20" s="3" t="s">
        <v>417</v>
      </c>
      <c r="E20" s="42" t="s">
        <v>98</v>
      </c>
      <c r="F20" s="39" t="s">
        <v>153</v>
      </c>
      <c r="G20" s="39">
        <v>10</v>
      </c>
      <c r="H20" s="270">
        <f t="shared" si="2"/>
        <v>10</v>
      </c>
      <c r="I20" s="309"/>
      <c r="J20" s="39" t="s">
        <v>126</v>
      </c>
      <c r="K20" s="309">
        <v>5</v>
      </c>
      <c r="L20" s="39">
        <v>50</v>
      </c>
      <c r="M20" s="4">
        <f t="shared" si="0"/>
        <v>0.1</v>
      </c>
      <c r="N20" s="39" t="s">
        <v>58</v>
      </c>
      <c r="O20" s="39" t="s">
        <v>76</v>
      </c>
      <c r="P20" s="12" t="s">
        <v>11</v>
      </c>
      <c r="Q20" s="310">
        <f t="shared" si="1"/>
      </c>
      <c r="R20" s="311">
        <f>Отчет!$Q$4</f>
        <v>937015</v>
      </c>
    </row>
    <row r="21" spans="1:18" ht="12.75">
      <c r="A21" s="308">
        <v>20</v>
      </c>
      <c r="B21" s="3" t="s">
        <v>593</v>
      </c>
      <c r="C21" s="3" t="s">
        <v>516</v>
      </c>
      <c r="D21" s="3" t="s">
        <v>471</v>
      </c>
      <c r="E21" s="42" t="s">
        <v>98</v>
      </c>
      <c r="F21" s="39" t="s">
        <v>153</v>
      </c>
      <c r="G21" s="12">
        <v>10</v>
      </c>
      <c r="H21" s="12">
        <f t="shared" si="2"/>
        <v>10</v>
      </c>
      <c r="I21" s="309"/>
      <c r="J21" s="39" t="s">
        <v>126</v>
      </c>
      <c r="K21" s="309">
        <v>4</v>
      </c>
      <c r="L21" s="39">
        <v>50</v>
      </c>
      <c r="M21" s="4">
        <f t="shared" si="0"/>
        <v>0.08</v>
      </c>
      <c r="N21" s="39" t="s">
        <v>58</v>
      </c>
      <c r="O21" s="39" t="s">
        <v>76</v>
      </c>
      <c r="P21" s="12" t="s">
        <v>11</v>
      </c>
      <c r="Q21" s="12">
        <f t="shared" si="1"/>
      </c>
      <c r="R21" s="311">
        <f>Отчет!$Q$4</f>
        <v>937015</v>
      </c>
    </row>
    <row r="22" spans="1:16" ht="12.75">
      <c r="A22" s="69"/>
      <c r="B22" s="69"/>
      <c r="C22" s="69"/>
      <c r="D22" s="69"/>
      <c r="E22" s="42"/>
      <c r="F22" s="73"/>
      <c r="G22" s="69"/>
      <c r="H22" s="69"/>
      <c r="I22" s="49"/>
      <c r="J22" s="73"/>
      <c r="K22" s="49"/>
      <c r="L22" s="69"/>
      <c r="M22" s="71"/>
      <c r="N22" s="69"/>
      <c r="O22" s="164"/>
      <c r="P22" s="25"/>
    </row>
    <row r="23" spans="1:16" ht="12.75">
      <c r="A23" s="69"/>
      <c r="B23" s="69"/>
      <c r="C23" s="69"/>
      <c r="D23" s="69"/>
      <c r="E23" s="70"/>
      <c r="F23" s="73"/>
      <c r="G23" s="69"/>
      <c r="H23" s="69"/>
      <c r="I23" s="49"/>
      <c r="J23" s="73"/>
      <c r="K23" s="49"/>
      <c r="L23" s="69"/>
      <c r="M23" s="71"/>
      <c r="N23" s="69"/>
      <c r="O23" s="164"/>
      <c r="P23" s="25"/>
    </row>
    <row r="24" spans="1:16" ht="12.75">
      <c r="A24" s="69"/>
      <c r="B24" s="69"/>
      <c r="C24" s="69"/>
      <c r="D24" s="69"/>
      <c r="E24" s="70"/>
      <c r="F24" s="73"/>
      <c r="G24" s="69"/>
      <c r="H24" s="69"/>
      <c r="I24" s="49"/>
      <c r="J24" s="73"/>
      <c r="K24" s="49"/>
      <c r="L24" s="69"/>
      <c r="M24" s="71"/>
      <c r="N24" s="69"/>
      <c r="O24" s="164"/>
      <c r="P24" s="25"/>
    </row>
    <row r="25" spans="1:16" ht="12.75">
      <c r="A25" s="69"/>
      <c r="B25" s="69"/>
      <c r="C25" s="69"/>
      <c r="D25" s="69"/>
      <c r="E25" s="70"/>
      <c r="F25" s="73"/>
      <c r="G25" s="69"/>
      <c r="H25" s="69"/>
      <c r="I25" s="49"/>
      <c r="J25" s="73"/>
      <c r="K25" s="49"/>
      <c r="L25" s="69"/>
      <c r="M25" s="71"/>
      <c r="N25" s="69"/>
      <c r="O25" s="164"/>
      <c r="P25" s="25"/>
    </row>
    <row r="26" spans="1:16" ht="12.75">
      <c r="A26" s="69"/>
      <c r="B26" s="69"/>
      <c r="C26" s="69"/>
      <c r="D26" s="69"/>
      <c r="E26" s="70"/>
      <c r="F26" s="73"/>
      <c r="G26" s="69"/>
      <c r="H26" s="69"/>
      <c r="I26" s="49"/>
      <c r="J26" s="73"/>
      <c r="K26" s="49"/>
      <c r="L26" s="69"/>
      <c r="M26" s="71"/>
      <c r="N26" s="69"/>
      <c r="O26" s="164"/>
      <c r="P26" s="25"/>
    </row>
    <row r="27" spans="1:16" ht="12.75">
      <c r="A27" s="69"/>
      <c r="B27" s="69"/>
      <c r="C27" s="69"/>
      <c r="D27" s="69"/>
      <c r="E27" s="70"/>
      <c r="F27" s="73"/>
      <c r="G27" s="69"/>
      <c r="H27" s="69"/>
      <c r="I27" s="49"/>
      <c r="J27" s="73"/>
      <c r="K27" s="49"/>
      <c r="L27" s="69"/>
      <c r="M27" s="71"/>
      <c r="N27" s="69"/>
      <c r="O27" s="164"/>
      <c r="P27" s="25"/>
    </row>
    <row r="28" spans="1:16" ht="12.75">
      <c r="A28" s="69"/>
      <c r="B28" s="69"/>
      <c r="C28" s="69"/>
      <c r="D28" s="69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69"/>
      <c r="B29" s="69"/>
      <c r="C29" s="69"/>
      <c r="D29" s="69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69"/>
      <c r="B30" s="69"/>
      <c r="C30" s="69"/>
      <c r="D30" s="69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69"/>
      <c r="B31" s="69"/>
      <c r="C31" s="69"/>
      <c r="D31" s="69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69"/>
      <c r="B32" s="69"/>
      <c r="C32" s="69"/>
      <c r="D32" s="69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69"/>
      <c r="B33" s="69"/>
      <c r="C33" s="69"/>
      <c r="D33" s="69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69"/>
      <c r="D34" s="69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69"/>
      <c r="D35" s="69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69"/>
      <c r="D36" s="69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69"/>
      <c r="D37" s="69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69"/>
      <c r="D38" s="69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69"/>
      <c r="D39" s="69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69"/>
      <c r="D40" s="69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69"/>
      <c r="D41" s="69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69"/>
      <c r="D42" s="69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69"/>
      <c r="D43" s="69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69"/>
      <c r="D44" s="69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69"/>
      <c r="D45" s="69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69"/>
      <c r="D46" s="69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69"/>
      <c r="D47" s="69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69"/>
      <c r="D48" s="69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69"/>
      <c r="D49" s="69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69"/>
      <c r="D50" s="69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K2" sqref="K2:K10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3" width="14.75390625" style="19" customWidth="1"/>
    <col min="4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9.1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2">
        <f>IF(COUNTIF(Q1:Q1000,"Введите дату рождения")&lt;&gt;0,"1","")</f>
      </c>
    </row>
    <row r="2" spans="1:18" ht="12.75" customHeight="1">
      <c r="A2" s="42">
        <v>1</v>
      </c>
      <c r="B2" s="39" t="s">
        <v>624</v>
      </c>
      <c r="C2" s="39" t="s">
        <v>581</v>
      </c>
      <c r="D2" s="39" t="s">
        <v>456</v>
      </c>
      <c r="E2" s="42" t="s">
        <v>99</v>
      </c>
      <c r="F2" s="39" t="str">
        <f>Отчет!$C$4</f>
        <v>МБОУ СОШ № 153</v>
      </c>
      <c r="G2" s="176">
        <v>9</v>
      </c>
      <c r="H2" s="270">
        <f aca="true" t="shared" si="0" ref="H2:H20">G2</f>
        <v>9</v>
      </c>
      <c r="I2" s="39"/>
      <c r="J2" s="39" t="s">
        <v>126</v>
      </c>
      <c r="K2" s="165">
        <v>16</v>
      </c>
      <c r="L2" s="53">
        <v>84</v>
      </c>
      <c r="M2" s="4">
        <f aca="true" t="shared" si="1" ref="M2:M10">K2/L2</f>
        <v>0.19047619047619047</v>
      </c>
      <c r="N2" s="39" t="s">
        <v>58</v>
      </c>
      <c r="O2" s="39" t="s">
        <v>76</v>
      </c>
      <c r="P2" s="21" t="s">
        <v>20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>
        <v>2</v>
      </c>
      <c r="B3" s="39" t="s">
        <v>664</v>
      </c>
      <c r="C3" s="39" t="s">
        <v>390</v>
      </c>
      <c r="D3" s="39" t="s">
        <v>378</v>
      </c>
      <c r="E3" s="42" t="s">
        <v>99</v>
      </c>
      <c r="F3" s="39" t="str">
        <f>Отчет!$C$4</f>
        <v>МБОУ СОШ № 153</v>
      </c>
      <c r="G3" s="176">
        <v>9</v>
      </c>
      <c r="H3" s="270">
        <f t="shared" si="0"/>
        <v>9</v>
      </c>
      <c r="I3" s="39"/>
      <c r="J3" s="39" t="s">
        <v>126</v>
      </c>
      <c r="K3" s="165">
        <v>16</v>
      </c>
      <c r="L3" s="53">
        <v>84</v>
      </c>
      <c r="M3" s="4">
        <f t="shared" si="1"/>
        <v>0.19047619047619047</v>
      </c>
      <c r="N3" s="39" t="s">
        <v>58</v>
      </c>
      <c r="O3" s="39" t="s">
        <v>76</v>
      </c>
      <c r="P3" s="21" t="s">
        <v>20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 customHeight="1">
      <c r="A4" s="42">
        <v>3</v>
      </c>
      <c r="B4" s="21" t="s">
        <v>689</v>
      </c>
      <c r="C4" s="39" t="s">
        <v>459</v>
      </c>
      <c r="D4" s="39" t="s">
        <v>374</v>
      </c>
      <c r="E4" s="42" t="s">
        <v>99</v>
      </c>
      <c r="F4" s="39" t="str">
        <f>Отчет!$C$4</f>
        <v>МБОУ СОШ № 153</v>
      </c>
      <c r="G4" s="176">
        <v>9</v>
      </c>
      <c r="H4" s="270">
        <f t="shared" si="0"/>
        <v>9</v>
      </c>
      <c r="I4" s="39"/>
      <c r="J4" s="39" t="s">
        <v>126</v>
      </c>
      <c r="K4" s="165">
        <v>15</v>
      </c>
      <c r="L4" s="53">
        <v>84</v>
      </c>
      <c r="M4" s="4">
        <f t="shared" si="1"/>
        <v>0.17857142857142858</v>
      </c>
      <c r="N4" s="39" t="s">
        <v>58</v>
      </c>
      <c r="O4" s="39" t="s">
        <v>76</v>
      </c>
      <c r="P4" s="21" t="s">
        <v>20</v>
      </c>
      <c r="Q4" s="134">
        <f t="shared" si="2"/>
      </c>
      <c r="R4" s="271">
        <f>Отчет!$Q$4</f>
        <v>937015</v>
      </c>
    </row>
    <row r="5" spans="1:18" ht="12.75" customHeight="1">
      <c r="A5" s="42">
        <v>4</v>
      </c>
      <c r="B5" s="21" t="s">
        <v>690</v>
      </c>
      <c r="C5" s="39" t="s">
        <v>642</v>
      </c>
      <c r="D5" s="39" t="s">
        <v>746</v>
      </c>
      <c r="E5" s="42" t="s">
        <v>98</v>
      </c>
      <c r="F5" s="39" t="str">
        <f>Отчет!$C$4</f>
        <v>МБОУ СОШ № 153</v>
      </c>
      <c r="G5" s="176">
        <v>9</v>
      </c>
      <c r="H5" s="270">
        <f t="shared" si="0"/>
        <v>9</v>
      </c>
      <c r="I5" s="39"/>
      <c r="J5" s="39" t="s">
        <v>126</v>
      </c>
      <c r="K5" s="165">
        <v>13</v>
      </c>
      <c r="L5" s="53">
        <v>84</v>
      </c>
      <c r="M5" s="4">
        <f t="shared" si="1"/>
        <v>0.15476190476190477</v>
      </c>
      <c r="N5" s="39" t="s">
        <v>58</v>
      </c>
      <c r="O5" s="39" t="s">
        <v>76</v>
      </c>
      <c r="P5" s="21" t="s">
        <v>20</v>
      </c>
      <c r="Q5" s="134">
        <f t="shared" si="2"/>
      </c>
      <c r="R5" s="271">
        <f>Отчет!$Q$4</f>
        <v>937015</v>
      </c>
    </row>
    <row r="6" spans="1:18" ht="12.75">
      <c r="A6" s="42">
        <v>5</v>
      </c>
      <c r="B6" s="21" t="s">
        <v>691</v>
      </c>
      <c r="C6" s="39" t="s">
        <v>459</v>
      </c>
      <c r="D6" s="39" t="s">
        <v>378</v>
      </c>
      <c r="E6" s="42" t="s">
        <v>99</v>
      </c>
      <c r="F6" s="39" t="str">
        <f>Отчет!$C$4</f>
        <v>МБОУ СОШ № 153</v>
      </c>
      <c r="G6" s="176">
        <v>9</v>
      </c>
      <c r="H6" s="270">
        <f t="shared" si="0"/>
        <v>9</v>
      </c>
      <c r="I6" s="39"/>
      <c r="J6" s="39" t="s">
        <v>126</v>
      </c>
      <c r="K6" s="165">
        <v>12</v>
      </c>
      <c r="L6" s="53">
        <v>84</v>
      </c>
      <c r="M6" s="4">
        <f t="shared" si="1"/>
        <v>0.14285714285714285</v>
      </c>
      <c r="N6" s="39" t="s">
        <v>58</v>
      </c>
      <c r="O6" s="39" t="s">
        <v>76</v>
      </c>
      <c r="P6" s="21" t="s">
        <v>20</v>
      </c>
      <c r="Q6" s="134">
        <f t="shared" si="2"/>
      </c>
      <c r="R6" s="271">
        <f>Отчет!$Q$4</f>
        <v>937015</v>
      </c>
    </row>
    <row r="7" spans="1:18" ht="12.75">
      <c r="A7" s="42">
        <v>6</v>
      </c>
      <c r="B7" s="21" t="s">
        <v>553</v>
      </c>
      <c r="C7" s="39" t="s">
        <v>552</v>
      </c>
      <c r="D7" s="39" t="s">
        <v>437</v>
      </c>
      <c r="E7" s="42" t="s">
        <v>98</v>
      </c>
      <c r="F7" s="39" t="str">
        <f>Отчет!$C$4</f>
        <v>МБОУ СОШ № 153</v>
      </c>
      <c r="G7" s="176">
        <v>9</v>
      </c>
      <c r="H7" s="270">
        <f t="shared" si="0"/>
        <v>9</v>
      </c>
      <c r="I7" s="39"/>
      <c r="J7" s="39" t="s">
        <v>126</v>
      </c>
      <c r="K7" s="165">
        <v>10</v>
      </c>
      <c r="L7" s="53">
        <v>84</v>
      </c>
      <c r="M7" s="4">
        <f t="shared" si="1"/>
        <v>0.11904761904761904</v>
      </c>
      <c r="N7" s="39" t="s">
        <v>58</v>
      </c>
      <c r="O7" s="39" t="s">
        <v>76</v>
      </c>
      <c r="P7" s="21" t="s">
        <v>20</v>
      </c>
      <c r="Q7" s="134">
        <f t="shared" si="2"/>
      </c>
      <c r="R7" s="271">
        <f>Отчет!$Q$4</f>
        <v>937015</v>
      </c>
    </row>
    <row r="8" spans="1:18" ht="12.75" customHeight="1">
      <c r="A8" s="42">
        <v>7</v>
      </c>
      <c r="B8" s="21" t="s">
        <v>512</v>
      </c>
      <c r="C8" s="39" t="s">
        <v>644</v>
      </c>
      <c r="D8" s="39" t="s">
        <v>443</v>
      </c>
      <c r="E8" s="42" t="s">
        <v>98</v>
      </c>
      <c r="F8" s="39" t="str">
        <f>Отчет!$C$4</f>
        <v>МБОУ СОШ № 153</v>
      </c>
      <c r="G8" s="176">
        <v>10</v>
      </c>
      <c r="H8" s="270">
        <f t="shared" si="0"/>
        <v>10</v>
      </c>
      <c r="I8" s="39"/>
      <c r="J8" s="39" t="s">
        <v>126</v>
      </c>
      <c r="K8" s="165">
        <v>16</v>
      </c>
      <c r="L8" s="53">
        <v>84</v>
      </c>
      <c r="M8" s="4">
        <f t="shared" si="1"/>
        <v>0.19047619047619047</v>
      </c>
      <c r="N8" s="39" t="s">
        <v>58</v>
      </c>
      <c r="O8" s="39" t="s">
        <v>76</v>
      </c>
      <c r="P8" s="21" t="s">
        <v>20</v>
      </c>
      <c r="Q8" s="134">
        <f t="shared" si="2"/>
      </c>
      <c r="R8" s="271">
        <f>Отчет!$Q$4</f>
        <v>937015</v>
      </c>
    </row>
    <row r="9" spans="1:18" ht="12.75">
      <c r="A9" s="42">
        <v>8</v>
      </c>
      <c r="B9" s="21" t="s">
        <v>692</v>
      </c>
      <c r="C9" s="39" t="s">
        <v>693</v>
      </c>
      <c r="D9" s="39" t="s">
        <v>694</v>
      </c>
      <c r="E9" s="42" t="s">
        <v>99</v>
      </c>
      <c r="F9" s="39" t="str">
        <f>Отчет!$C$4</f>
        <v>МБОУ СОШ № 153</v>
      </c>
      <c r="G9" s="176">
        <v>11</v>
      </c>
      <c r="H9" s="270">
        <f t="shared" si="0"/>
        <v>11</v>
      </c>
      <c r="I9" s="39"/>
      <c r="J9" s="39" t="s">
        <v>126</v>
      </c>
      <c r="K9" s="165">
        <v>16</v>
      </c>
      <c r="L9" s="53">
        <v>84</v>
      </c>
      <c r="M9" s="4">
        <f t="shared" si="1"/>
        <v>0.19047619047619047</v>
      </c>
      <c r="N9" s="39" t="s">
        <v>58</v>
      </c>
      <c r="O9" s="39" t="s">
        <v>76</v>
      </c>
      <c r="P9" s="21" t="s">
        <v>20</v>
      </c>
      <c r="Q9" s="134">
        <f t="shared" si="2"/>
      </c>
      <c r="R9" s="271">
        <f>Отчет!$Q$4</f>
        <v>937015</v>
      </c>
    </row>
    <row r="10" spans="1:18" ht="12.75">
      <c r="A10" s="42">
        <v>9</v>
      </c>
      <c r="B10" s="21" t="s">
        <v>641</v>
      </c>
      <c r="C10" s="39" t="s">
        <v>642</v>
      </c>
      <c r="D10" s="39" t="s">
        <v>437</v>
      </c>
      <c r="E10" s="42" t="s">
        <v>98</v>
      </c>
      <c r="F10" s="39" t="str">
        <f>Отчет!$C$4</f>
        <v>МБОУ СОШ № 153</v>
      </c>
      <c r="G10" s="176">
        <v>11</v>
      </c>
      <c r="H10" s="270">
        <f t="shared" si="0"/>
        <v>11</v>
      </c>
      <c r="I10" s="39"/>
      <c r="J10" s="39" t="s">
        <v>126</v>
      </c>
      <c r="K10" s="165">
        <v>16</v>
      </c>
      <c r="L10" s="53">
        <v>84</v>
      </c>
      <c r="M10" s="4">
        <f t="shared" si="1"/>
        <v>0.19047619047619047</v>
      </c>
      <c r="N10" s="39" t="s">
        <v>58</v>
      </c>
      <c r="O10" s="39" t="s">
        <v>76</v>
      </c>
      <c r="P10" s="21" t="s">
        <v>20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0"/>
        <v>0</v>
      </c>
      <c r="I11" s="39"/>
      <c r="J11" s="39"/>
      <c r="K11" s="165"/>
      <c r="L11" s="39"/>
      <c r="M11" s="4"/>
      <c r="N11" s="39"/>
      <c r="O11" s="39"/>
      <c r="P11" s="21"/>
      <c r="Q11" s="134">
        <f t="shared" si="2"/>
      </c>
      <c r="R11" s="271"/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0"/>
        <v>0</v>
      </c>
      <c r="I12" s="39"/>
      <c r="J12" s="39"/>
      <c r="K12" s="165"/>
      <c r="L12" s="39"/>
      <c r="M12" s="4"/>
      <c r="N12" s="39"/>
      <c r="O12" s="39"/>
      <c r="P12" s="21"/>
      <c r="Q12" s="134">
        <f t="shared" si="2"/>
      </c>
      <c r="R12" s="271"/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0"/>
        <v>0</v>
      </c>
      <c r="I13" s="39"/>
      <c r="J13" s="39"/>
      <c r="K13" s="165"/>
      <c r="L13" s="39"/>
      <c r="M13" s="4"/>
      <c r="N13" s="39"/>
      <c r="O13" s="39"/>
      <c r="P13" s="21"/>
      <c r="Q13" s="134">
        <f t="shared" si="2"/>
      </c>
      <c r="R13" s="271"/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0"/>
        <v>0</v>
      </c>
      <c r="I14" s="39"/>
      <c r="J14" s="39"/>
      <c r="K14" s="165"/>
      <c r="L14" s="39"/>
      <c r="M14" s="4"/>
      <c r="N14" s="39"/>
      <c r="O14" s="39"/>
      <c r="P14" s="21"/>
      <c r="Q14" s="134">
        <f t="shared" si="2"/>
      </c>
      <c r="R14" s="271"/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0"/>
        <v>0</v>
      </c>
      <c r="I15" s="39"/>
      <c r="J15" s="39"/>
      <c r="K15" s="165"/>
      <c r="L15" s="39"/>
      <c r="M15" s="4"/>
      <c r="N15" s="39"/>
      <c r="O15" s="39"/>
      <c r="P15" s="21"/>
      <c r="Q15" s="134">
        <f t="shared" si="2"/>
      </c>
      <c r="R15" s="271"/>
    </row>
    <row r="16" spans="1:18" ht="12.75">
      <c r="A16" s="3"/>
      <c r="B16" s="3"/>
      <c r="C16" s="3"/>
      <c r="D16" s="3"/>
      <c r="E16" s="170"/>
      <c r="F16" s="39"/>
      <c r="G16" s="176"/>
      <c r="H16" s="270">
        <f t="shared" si="0"/>
        <v>0</v>
      </c>
      <c r="I16" s="5"/>
      <c r="J16" s="39"/>
      <c r="K16" s="5"/>
      <c r="L16" s="3"/>
      <c r="M16" s="4"/>
      <c r="N16" s="37"/>
      <c r="O16" s="39"/>
      <c r="P16" s="21"/>
      <c r="Q16" s="134">
        <f t="shared" si="2"/>
      </c>
      <c r="R16" s="271"/>
    </row>
    <row r="17" spans="1:18" ht="12.75">
      <c r="A17" s="3"/>
      <c r="B17" s="3"/>
      <c r="C17" s="3"/>
      <c r="D17" s="3"/>
      <c r="E17" s="170"/>
      <c r="F17" s="39"/>
      <c r="G17" s="176"/>
      <c r="H17" s="270">
        <f t="shared" si="0"/>
        <v>0</v>
      </c>
      <c r="I17" s="5"/>
      <c r="J17" s="39"/>
      <c r="K17" s="5"/>
      <c r="L17" s="3"/>
      <c r="M17" s="4"/>
      <c r="N17" s="37"/>
      <c r="O17" s="39"/>
      <c r="P17" s="21"/>
      <c r="Q17" s="134">
        <f t="shared" si="2"/>
      </c>
      <c r="R17" s="271"/>
    </row>
    <row r="18" spans="1:18" ht="12.75">
      <c r="A18" s="3"/>
      <c r="B18" s="3"/>
      <c r="C18" s="3"/>
      <c r="D18" s="3"/>
      <c r="E18" s="170"/>
      <c r="F18" s="39"/>
      <c r="G18" s="176"/>
      <c r="H18" s="270">
        <f t="shared" si="0"/>
        <v>0</v>
      </c>
      <c r="I18" s="5"/>
      <c r="J18" s="39"/>
      <c r="K18" s="5"/>
      <c r="L18" s="3"/>
      <c r="M18" s="4"/>
      <c r="N18" s="37"/>
      <c r="O18" s="39"/>
      <c r="P18" s="21"/>
      <c r="Q18" s="134">
        <f t="shared" si="2"/>
      </c>
      <c r="R18" s="271"/>
    </row>
    <row r="19" spans="1:18" ht="12.75">
      <c r="A19" s="106"/>
      <c r="B19" s="106"/>
      <c r="C19" s="106"/>
      <c r="D19" s="106"/>
      <c r="E19" s="171"/>
      <c r="F19" s="39"/>
      <c r="G19" s="176"/>
      <c r="H19" s="270">
        <f t="shared" si="0"/>
        <v>0</v>
      </c>
      <c r="I19" s="108"/>
      <c r="J19" s="100"/>
      <c r="K19" s="108"/>
      <c r="L19" s="106"/>
      <c r="M19" s="4"/>
      <c r="N19" s="110"/>
      <c r="O19" s="39"/>
      <c r="P19" s="105"/>
      <c r="Q19" s="134">
        <f t="shared" si="2"/>
      </c>
      <c r="R19" s="271"/>
    </row>
    <row r="20" spans="1:18" ht="12.75">
      <c r="A20" s="3"/>
      <c r="B20" s="3"/>
      <c r="C20" s="3"/>
      <c r="D20" s="3"/>
      <c r="E20" s="170"/>
      <c r="F20" s="39"/>
      <c r="G20" s="176"/>
      <c r="H20" s="270">
        <f t="shared" si="0"/>
        <v>0</v>
      </c>
      <c r="I20" s="46"/>
      <c r="J20" s="39"/>
      <c r="K20" s="163"/>
      <c r="L20" s="3"/>
      <c r="M20" s="4"/>
      <c r="N20" s="3"/>
      <c r="O20" s="39"/>
      <c r="P20" s="21"/>
      <c r="Q20" s="134">
        <f t="shared" si="2"/>
      </c>
      <c r="R20" s="271"/>
    </row>
    <row r="21" spans="1:16" ht="12.75">
      <c r="A21" s="69"/>
      <c r="B21" s="69"/>
      <c r="C21" s="69"/>
      <c r="D21" s="69"/>
      <c r="E21" s="70"/>
      <c r="F21" s="73"/>
      <c r="G21" s="69"/>
      <c r="H21" s="69"/>
      <c r="I21" s="49"/>
      <c r="J21" s="73"/>
      <c r="K21" s="49"/>
      <c r="L21" s="69"/>
      <c r="M21" s="71"/>
      <c r="N21" s="69"/>
      <c r="O21" s="164"/>
      <c r="P21" s="25"/>
    </row>
    <row r="22" spans="1:16" ht="12.75">
      <c r="A22" s="69"/>
      <c r="B22" s="69"/>
      <c r="C22" s="69"/>
      <c r="D22" s="69"/>
      <c r="E22" s="70"/>
      <c r="F22" s="73"/>
      <c r="G22" s="69"/>
      <c r="H22" s="69"/>
      <c r="I22" s="49"/>
      <c r="J22" s="73"/>
      <c r="K22" s="49"/>
      <c r="L22" s="69"/>
      <c r="M22" s="71"/>
      <c r="N22" s="69"/>
      <c r="O22" s="164"/>
      <c r="P22" s="25"/>
    </row>
    <row r="23" spans="1:16" ht="12.75">
      <c r="A23" s="69"/>
      <c r="B23" s="69"/>
      <c r="C23" s="69"/>
      <c r="D23" s="69"/>
      <c r="E23" s="70"/>
      <c r="F23" s="73"/>
      <c r="G23" s="69"/>
      <c r="H23" s="69"/>
      <c r="I23" s="49"/>
      <c r="J23" s="73"/>
      <c r="K23" s="49"/>
      <c r="L23" s="69"/>
      <c r="M23" s="71"/>
      <c r="N23" s="69"/>
      <c r="O23" s="164"/>
      <c r="P23" s="25"/>
    </row>
    <row r="24" spans="1:16" ht="12.75">
      <c r="A24" s="69"/>
      <c r="B24" s="69"/>
      <c r="C24" s="69"/>
      <c r="D24" s="69"/>
      <c r="E24" s="70"/>
      <c r="F24" s="73"/>
      <c r="G24" s="69"/>
      <c r="H24" s="69"/>
      <c r="I24" s="49"/>
      <c r="J24" s="73"/>
      <c r="K24" s="49"/>
      <c r="L24" s="69"/>
      <c r="M24" s="71"/>
      <c r="N24" s="69"/>
      <c r="O24" s="164"/>
      <c r="P24" s="25"/>
    </row>
    <row r="25" spans="1:16" ht="12.75">
      <c r="A25" s="69"/>
      <c r="B25" s="69"/>
      <c r="C25" s="69"/>
      <c r="D25" s="69"/>
      <c r="E25" s="70"/>
      <c r="F25" s="73"/>
      <c r="G25" s="69"/>
      <c r="H25" s="69"/>
      <c r="I25" s="49"/>
      <c r="J25" s="73"/>
      <c r="K25" s="49"/>
      <c r="L25" s="69"/>
      <c r="M25" s="71"/>
      <c r="N25" s="69"/>
      <c r="O25" s="164"/>
      <c r="P25" s="25"/>
    </row>
    <row r="26" spans="1:16" ht="12.75">
      <c r="A26" s="69"/>
      <c r="B26" s="69"/>
      <c r="C26" s="69"/>
      <c r="D26" s="69"/>
      <c r="E26" s="70"/>
      <c r="F26" s="73"/>
      <c r="G26" s="69"/>
      <c r="H26" s="69"/>
      <c r="I26" s="49"/>
      <c r="J26" s="73"/>
      <c r="K26" s="49"/>
      <c r="L26" s="69"/>
      <c r="M26" s="71"/>
      <c r="N26" s="69"/>
      <c r="O26" s="164"/>
      <c r="P26" s="25"/>
    </row>
    <row r="27" spans="1:16" ht="12.75">
      <c r="A27" s="69"/>
      <c r="B27" s="69"/>
      <c r="C27" s="69"/>
      <c r="D27" s="69"/>
      <c r="E27" s="70"/>
      <c r="F27" s="73"/>
      <c r="G27" s="69"/>
      <c r="H27" s="69"/>
      <c r="I27" s="49"/>
      <c r="J27" s="73"/>
      <c r="K27" s="49"/>
      <c r="L27" s="69"/>
      <c r="M27" s="71"/>
      <c r="N27" s="69"/>
      <c r="O27" s="164"/>
      <c r="P27" s="25"/>
    </row>
    <row r="28" spans="1:16" ht="12.75">
      <c r="A28" s="69"/>
      <c r="B28" s="69"/>
      <c r="C28" s="69"/>
      <c r="D28" s="69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69"/>
      <c r="B29" s="69"/>
      <c r="C29" s="69"/>
      <c r="D29" s="69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69"/>
      <c r="B30" s="69"/>
      <c r="C30" s="69"/>
      <c r="D30" s="69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69"/>
      <c r="B31" s="69"/>
      <c r="C31" s="69"/>
      <c r="D31" s="69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69"/>
      <c r="B32" s="69"/>
      <c r="C32" s="69"/>
      <c r="D32" s="69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69"/>
      <c r="B33" s="69"/>
      <c r="C33" s="69"/>
      <c r="D33" s="69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69"/>
      <c r="D34" s="69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69"/>
      <c r="D35" s="69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69"/>
      <c r="D36" s="69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69"/>
      <c r="D37" s="69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69"/>
      <c r="D38" s="69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69"/>
      <c r="D39" s="69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69"/>
      <c r="D40" s="69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69"/>
      <c r="D41" s="69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69"/>
      <c r="D42" s="69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69"/>
      <c r="D43" s="69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69"/>
      <c r="D44" s="69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69"/>
      <c r="D45" s="69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69"/>
      <c r="D46" s="69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69"/>
      <c r="D47" s="69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69"/>
      <c r="D48" s="69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69"/>
      <c r="D49" s="69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69"/>
      <c r="D50" s="69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G1">
      <selection activeCell="I8" sqref="I8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7.1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1">
        <f>IF(COUNTIF(Q1:Q1000,"Введите дату рождения")&lt;&gt;0,"1","")</f>
      </c>
    </row>
    <row r="2" spans="1:18" ht="12.75">
      <c r="A2" s="42"/>
      <c r="B2" s="39"/>
      <c r="C2" s="39"/>
      <c r="D2" s="39"/>
      <c r="E2" s="42"/>
      <c r="F2" s="39" t="str">
        <f>Отчет!$C$4</f>
        <v>МБОУ СОШ № 153</v>
      </c>
      <c r="G2" s="176"/>
      <c r="H2" s="270">
        <f aca="true" t="shared" si="0" ref="H2:H20">G2</f>
        <v>0</v>
      </c>
      <c r="I2" s="39"/>
      <c r="J2" s="39"/>
      <c r="K2" s="165"/>
      <c r="L2" s="39"/>
      <c r="M2" s="22" t="e">
        <f aca="true" t="shared" si="1" ref="M2:M20">K2/L2</f>
        <v>#DIV/0!</v>
      </c>
      <c r="N2" s="39"/>
      <c r="O2" s="39"/>
      <c r="P2" s="21" t="s">
        <v>14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 t="str">
        <f>Отчет!$C$4</f>
        <v>МБОУ СОШ № 153</v>
      </c>
      <c r="G3" s="176"/>
      <c r="H3" s="270">
        <f t="shared" si="0"/>
        <v>0</v>
      </c>
      <c r="I3" s="39"/>
      <c r="J3" s="39"/>
      <c r="K3" s="165"/>
      <c r="L3" s="39"/>
      <c r="M3" s="22" t="e">
        <f t="shared" si="1"/>
        <v>#DIV/0!</v>
      </c>
      <c r="N3" s="39"/>
      <c r="O3" s="39"/>
      <c r="P3" s="21" t="s">
        <v>14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>
      <c r="A4" s="166"/>
      <c r="B4" s="21"/>
      <c r="C4" s="39"/>
      <c r="D4" s="39"/>
      <c r="E4" s="42"/>
      <c r="F4" s="39" t="str">
        <f>Отчет!$C$4</f>
        <v>МБОУ СОШ № 153</v>
      </c>
      <c r="G4" s="176"/>
      <c r="H4" s="270">
        <f t="shared" si="0"/>
        <v>0</v>
      </c>
      <c r="I4" s="39"/>
      <c r="J4" s="39"/>
      <c r="K4" s="165"/>
      <c r="L4" s="39"/>
      <c r="M4" s="22" t="e">
        <f t="shared" si="1"/>
        <v>#DIV/0!</v>
      </c>
      <c r="N4" s="39"/>
      <c r="O4" s="39"/>
      <c r="P4" s="21" t="s">
        <v>14</v>
      </c>
      <c r="Q4" s="134">
        <f t="shared" si="2"/>
      </c>
      <c r="R4" s="271">
        <f>Отчет!$Q$4</f>
        <v>937015</v>
      </c>
    </row>
    <row r="5" spans="1:18" ht="12.75">
      <c r="A5" s="166"/>
      <c r="B5" s="21"/>
      <c r="C5" s="39"/>
      <c r="D5" s="39"/>
      <c r="E5" s="42"/>
      <c r="F5" s="39" t="str">
        <f>Отчет!$C$4</f>
        <v>МБОУ СОШ № 153</v>
      </c>
      <c r="G5" s="176"/>
      <c r="H5" s="270">
        <f t="shared" si="0"/>
        <v>0</v>
      </c>
      <c r="I5" s="39"/>
      <c r="J5" s="39"/>
      <c r="K5" s="165"/>
      <c r="L5" s="39"/>
      <c r="M5" s="22" t="e">
        <f t="shared" si="1"/>
        <v>#DIV/0!</v>
      </c>
      <c r="N5" s="39"/>
      <c r="O5" s="39"/>
      <c r="P5" s="21" t="s">
        <v>14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 t="str">
        <f>Отчет!$C$4</f>
        <v>МБОУ СОШ № 153</v>
      </c>
      <c r="G6" s="176"/>
      <c r="H6" s="270">
        <f t="shared" si="0"/>
        <v>0</v>
      </c>
      <c r="I6" s="39"/>
      <c r="J6" s="39"/>
      <c r="K6" s="165"/>
      <c r="L6" s="39"/>
      <c r="M6" s="22" t="e">
        <f t="shared" si="1"/>
        <v>#DIV/0!</v>
      </c>
      <c r="N6" s="39"/>
      <c r="O6" s="39"/>
      <c r="P6" s="21" t="s">
        <v>14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 t="str">
        <f>Отчет!$C$4</f>
        <v>МБОУ СОШ № 153</v>
      </c>
      <c r="G7" s="176"/>
      <c r="H7" s="270">
        <f t="shared" si="0"/>
        <v>0</v>
      </c>
      <c r="I7" s="39"/>
      <c r="J7" s="39"/>
      <c r="K7" s="165"/>
      <c r="L7" s="39"/>
      <c r="M7" s="22" t="e">
        <f t="shared" si="1"/>
        <v>#DIV/0!</v>
      </c>
      <c r="N7" s="39"/>
      <c r="O7" s="39"/>
      <c r="P7" s="21" t="s">
        <v>14</v>
      </c>
      <c r="Q7" s="134">
        <f t="shared" si="2"/>
      </c>
      <c r="R7" s="271">
        <f>Отчет!$Q$4</f>
        <v>937015</v>
      </c>
    </row>
    <row r="8" spans="1:18" ht="12.75">
      <c r="A8" s="166"/>
      <c r="B8" s="21"/>
      <c r="C8" s="39"/>
      <c r="D8" s="39"/>
      <c r="E8" s="42"/>
      <c r="F8" s="39" t="str">
        <f>Отчет!$C$4</f>
        <v>МБОУ СОШ № 153</v>
      </c>
      <c r="G8" s="176"/>
      <c r="H8" s="270">
        <f t="shared" si="0"/>
        <v>0</v>
      </c>
      <c r="I8" s="39"/>
      <c r="J8" s="39"/>
      <c r="K8" s="165"/>
      <c r="L8" s="39"/>
      <c r="M8" s="22" t="e">
        <f t="shared" si="1"/>
        <v>#DIV/0!</v>
      </c>
      <c r="N8" s="39"/>
      <c r="O8" s="39"/>
      <c r="P8" s="21" t="s">
        <v>14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 t="str">
        <f>Отчет!$C$4</f>
        <v>МБОУ СОШ № 153</v>
      </c>
      <c r="G9" s="176"/>
      <c r="H9" s="270">
        <f t="shared" si="0"/>
        <v>0</v>
      </c>
      <c r="I9" s="39"/>
      <c r="J9" s="39"/>
      <c r="K9" s="165"/>
      <c r="L9" s="39"/>
      <c r="M9" s="22" t="e">
        <f t="shared" si="1"/>
        <v>#DIV/0!</v>
      </c>
      <c r="N9" s="39"/>
      <c r="O9" s="39"/>
      <c r="P9" s="21" t="s">
        <v>14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 t="str">
        <f>Отчет!$C$4</f>
        <v>МБОУ СОШ № 153</v>
      </c>
      <c r="G10" s="176"/>
      <c r="H10" s="270">
        <f t="shared" si="0"/>
        <v>0</v>
      </c>
      <c r="I10" s="39"/>
      <c r="J10" s="39"/>
      <c r="K10" s="165"/>
      <c r="L10" s="39"/>
      <c r="M10" s="22" t="e">
        <f t="shared" si="1"/>
        <v>#DIV/0!</v>
      </c>
      <c r="N10" s="39"/>
      <c r="O10" s="39"/>
      <c r="P10" s="21" t="s">
        <v>14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 t="str">
        <f>Отчет!$C$4</f>
        <v>МБОУ СОШ № 153</v>
      </c>
      <c r="G11" s="176"/>
      <c r="H11" s="270">
        <f t="shared" si="0"/>
        <v>0</v>
      </c>
      <c r="I11" s="39"/>
      <c r="J11" s="39"/>
      <c r="K11" s="165"/>
      <c r="L11" s="39"/>
      <c r="M11" s="22" t="e">
        <f t="shared" si="1"/>
        <v>#DIV/0!</v>
      </c>
      <c r="N11" s="39"/>
      <c r="O11" s="39"/>
      <c r="P11" s="21" t="s">
        <v>14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 t="str">
        <f>Отчет!$C$4</f>
        <v>МБОУ СОШ № 153</v>
      </c>
      <c r="G12" s="176"/>
      <c r="H12" s="270">
        <f t="shared" si="0"/>
        <v>0</v>
      </c>
      <c r="I12" s="39"/>
      <c r="J12" s="39"/>
      <c r="K12" s="165"/>
      <c r="L12" s="39"/>
      <c r="M12" s="22" t="e">
        <f t="shared" si="1"/>
        <v>#DIV/0!</v>
      </c>
      <c r="N12" s="39"/>
      <c r="O12" s="39"/>
      <c r="P12" s="21" t="s">
        <v>14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 t="str">
        <f>Отчет!$C$4</f>
        <v>МБОУ СОШ № 153</v>
      </c>
      <c r="G13" s="176"/>
      <c r="H13" s="270">
        <f t="shared" si="0"/>
        <v>0</v>
      </c>
      <c r="I13" s="39"/>
      <c r="J13" s="39"/>
      <c r="K13" s="165"/>
      <c r="L13" s="39"/>
      <c r="M13" s="22" t="e">
        <f t="shared" si="1"/>
        <v>#DIV/0!</v>
      </c>
      <c r="N13" s="39"/>
      <c r="O13" s="39"/>
      <c r="P13" s="21" t="s">
        <v>14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 t="str">
        <f>Отчет!$C$4</f>
        <v>МБОУ СОШ № 153</v>
      </c>
      <c r="G14" s="176"/>
      <c r="H14" s="270">
        <f t="shared" si="0"/>
        <v>0</v>
      </c>
      <c r="I14" s="39"/>
      <c r="J14" s="39"/>
      <c r="K14" s="165"/>
      <c r="L14" s="39"/>
      <c r="M14" s="22" t="e">
        <f t="shared" si="1"/>
        <v>#DIV/0!</v>
      </c>
      <c r="N14" s="39"/>
      <c r="O14" s="39"/>
      <c r="P14" s="21" t="s">
        <v>14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 t="str">
        <f>Отчет!$C$4</f>
        <v>МБОУ СОШ № 153</v>
      </c>
      <c r="G15" s="176"/>
      <c r="H15" s="270">
        <f t="shared" si="0"/>
        <v>0</v>
      </c>
      <c r="I15" s="39"/>
      <c r="J15" s="39"/>
      <c r="K15" s="165"/>
      <c r="L15" s="39"/>
      <c r="M15" s="22" t="e">
        <f t="shared" si="1"/>
        <v>#DIV/0!</v>
      </c>
      <c r="N15" s="39"/>
      <c r="O15" s="39"/>
      <c r="P15" s="21" t="s">
        <v>14</v>
      </c>
      <c r="Q15" s="134">
        <f t="shared" si="2"/>
      </c>
      <c r="R15" s="271">
        <f>Отчет!$Q$4</f>
        <v>937015</v>
      </c>
    </row>
    <row r="16" spans="1:18" ht="12.75">
      <c r="A16" s="21"/>
      <c r="B16" s="21"/>
      <c r="C16" s="21"/>
      <c r="D16" s="21"/>
      <c r="E16" s="166"/>
      <c r="F16" s="39" t="str">
        <f>Отчет!$C$4</f>
        <v>МБОУ СОШ № 153</v>
      </c>
      <c r="G16" s="176"/>
      <c r="H16" s="270">
        <f t="shared" si="0"/>
        <v>0</v>
      </c>
      <c r="I16" s="22"/>
      <c r="J16" s="39"/>
      <c r="K16" s="22"/>
      <c r="L16" s="22"/>
      <c r="M16" s="22" t="e">
        <f t="shared" si="1"/>
        <v>#DIV/0!</v>
      </c>
      <c r="N16" s="38"/>
      <c r="O16" s="39"/>
      <c r="P16" s="21" t="s">
        <v>14</v>
      </c>
      <c r="Q16" s="134">
        <f t="shared" si="2"/>
      </c>
      <c r="R16" s="271">
        <f>Отчет!$Q$4</f>
        <v>937015</v>
      </c>
    </row>
    <row r="17" spans="1:18" ht="12.75">
      <c r="A17" s="21"/>
      <c r="B17" s="21"/>
      <c r="C17" s="21"/>
      <c r="D17" s="21"/>
      <c r="E17" s="166"/>
      <c r="F17" s="39" t="str">
        <f>Отчет!$C$4</f>
        <v>МБОУ СОШ № 153</v>
      </c>
      <c r="G17" s="176"/>
      <c r="H17" s="270">
        <f t="shared" si="0"/>
        <v>0</v>
      </c>
      <c r="I17" s="22"/>
      <c r="J17" s="39"/>
      <c r="K17" s="22"/>
      <c r="L17" s="22"/>
      <c r="M17" s="22" t="e">
        <f t="shared" si="1"/>
        <v>#DIV/0!</v>
      </c>
      <c r="N17" s="38"/>
      <c r="O17" s="39"/>
      <c r="P17" s="21" t="s">
        <v>14</v>
      </c>
      <c r="Q17" s="134">
        <f t="shared" si="2"/>
      </c>
      <c r="R17" s="271">
        <f>Отчет!$Q$4</f>
        <v>937015</v>
      </c>
    </row>
    <row r="18" spans="1:18" ht="12.75">
      <c r="A18" s="21"/>
      <c r="B18" s="21"/>
      <c r="C18" s="21"/>
      <c r="D18" s="21"/>
      <c r="E18" s="166"/>
      <c r="F18" s="39" t="str">
        <f>Отчет!$C$4</f>
        <v>МБОУ СОШ № 153</v>
      </c>
      <c r="G18" s="176"/>
      <c r="H18" s="270">
        <f t="shared" si="0"/>
        <v>0</v>
      </c>
      <c r="I18" s="22"/>
      <c r="J18" s="39"/>
      <c r="K18" s="22"/>
      <c r="L18" s="22"/>
      <c r="M18" s="22" t="e">
        <f t="shared" si="1"/>
        <v>#DIV/0!</v>
      </c>
      <c r="N18" s="38"/>
      <c r="O18" s="39"/>
      <c r="P18" s="21" t="s">
        <v>14</v>
      </c>
      <c r="Q18" s="134">
        <f t="shared" si="2"/>
      </c>
      <c r="R18" s="271">
        <f>Отчет!$Q$4</f>
        <v>937015</v>
      </c>
    </row>
    <row r="19" spans="1:18" ht="12.75">
      <c r="A19" s="105"/>
      <c r="B19" s="105"/>
      <c r="C19" s="105"/>
      <c r="D19" s="105"/>
      <c r="E19" s="167"/>
      <c r="F19" s="39" t="str">
        <f>Отчет!$C$4</f>
        <v>МБОУ СОШ № 153</v>
      </c>
      <c r="G19" s="176"/>
      <c r="H19" s="270">
        <f t="shared" si="0"/>
        <v>0</v>
      </c>
      <c r="I19" s="107"/>
      <c r="J19" s="100"/>
      <c r="K19" s="107"/>
      <c r="L19" s="107"/>
      <c r="M19" s="22" t="e">
        <f t="shared" si="1"/>
        <v>#DIV/0!</v>
      </c>
      <c r="N19" s="111"/>
      <c r="O19" s="39"/>
      <c r="P19" s="105" t="s">
        <v>14</v>
      </c>
      <c r="Q19" s="134">
        <f t="shared" si="2"/>
      </c>
      <c r="R19" s="271">
        <f>Отчет!$Q$4</f>
        <v>937015</v>
      </c>
    </row>
    <row r="20" spans="1:18" ht="12.75">
      <c r="A20" s="21"/>
      <c r="B20" s="21"/>
      <c r="C20" s="21"/>
      <c r="D20" s="21"/>
      <c r="E20" s="166"/>
      <c r="F20" s="39" t="str">
        <f>Отчет!$C$4</f>
        <v>МБОУ СОШ № 153</v>
      </c>
      <c r="G20" s="176"/>
      <c r="H20" s="270">
        <f t="shared" si="0"/>
        <v>0</v>
      </c>
      <c r="I20" s="198"/>
      <c r="J20" s="39"/>
      <c r="K20" s="177"/>
      <c r="L20" s="22"/>
      <c r="M20" s="22" t="e">
        <f t="shared" si="1"/>
        <v>#DIV/0!</v>
      </c>
      <c r="N20" s="126"/>
      <c r="O20" s="39"/>
      <c r="P20" s="21" t="s">
        <v>14</v>
      </c>
      <c r="Q20" s="134">
        <f t="shared" si="2"/>
      </c>
      <c r="R20" s="271">
        <f>Отчет!$Q$4</f>
        <v>937015</v>
      </c>
    </row>
    <row r="21" spans="1:16" ht="12.75">
      <c r="A21" s="25"/>
      <c r="B21" s="25"/>
      <c r="C21" s="25"/>
      <c r="D21" s="25"/>
      <c r="E21" s="25"/>
      <c r="F21" s="73"/>
      <c r="G21" s="50"/>
      <c r="H21" s="50"/>
      <c r="I21" s="50"/>
      <c r="J21" s="73"/>
      <c r="K21" s="50"/>
      <c r="L21" s="50"/>
      <c r="M21" s="50"/>
      <c r="N21" s="72"/>
      <c r="O21" s="164"/>
      <c r="P21" s="25"/>
    </row>
    <row r="22" spans="1:16" ht="12.75">
      <c r="A22" s="25"/>
      <c r="B22" s="25"/>
      <c r="C22" s="25"/>
      <c r="D22" s="25"/>
      <c r="E22" s="25"/>
      <c r="F22" s="73"/>
      <c r="G22" s="50"/>
      <c r="H22" s="50"/>
      <c r="I22" s="50"/>
      <c r="J22" s="73"/>
      <c r="K22" s="50"/>
      <c r="L22" s="50"/>
      <c r="M22" s="50"/>
      <c r="N22" s="72"/>
      <c r="O22" s="164"/>
      <c r="P22" s="25"/>
    </row>
    <row r="23" spans="1:16" ht="12.75">
      <c r="A23" s="25"/>
      <c r="B23" s="25"/>
      <c r="C23" s="25"/>
      <c r="D23" s="25"/>
      <c r="E23" s="25"/>
      <c r="F23" s="73"/>
      <c r="G23" s="50"/>
      <c r="H23" s="50"/>
      <c r="I23" s="50"/>
      <c r="J23" s="73"/>
      <c r="K23" s="50"/>
      <c r="L23" s="50"/>
      <c r="M23" s="50"/>
      <c r="N23" s="72"/>
      <c r="O23" s="164"/>
      <c r="P23" s="25"/>
    </row>
    <row r="24" spans="1:16" ht="12.75">
      <c r="A24" s="25"/>
      <c r="B24" s="25"/>
      <c r="C24" s="25"/>
      <c r="D24" s="25"/>
      <c r="E24" s="25"/>
      <c r="F24" s="73"/>
      <c r="G24" s="50"/>
      <c r="H24" s="50"/>
      <c r="I24" s="50"/>
      <c r="J24" s="73"/>
      <c r="K24" s="50"/>
      <c r="L24" s="50"/>
      <c r="M24" s="50"/>
      <c r="N24" s="72"/>
      <c r="O24" s="164"/>
      <c r="P24" s="25"/>
    </row>
    <row r="25" spans="1:16" ht="12.75">
      <c r="A25" s="25"/>
      <c r="B25" s="25"/>
      <c r="C25" s="25"/>
      <c r="D25" s="25"/>
      <c r="E25" s="25"/>
      <c r="F25" s="73"/>
      <c r="G25" s="50"/>
      <c r="H25" s="50"/>
      <c r="I25" s="50"/>
      <c r="J25" s="73"/>
      <c r="K25" s="50"/>
      <c r="L25" s="50"/>
      <c r="M25" s="50"/>
      <c r="N25" s="72"/>
      <c r="O25" s="164"/>
      <c r="P25" s="25"/>
    </row>
    <row r="26" spans="1:16" ht="12.75">
      <c r="A26" s="25"/>
      <c r="B26" s="25"/>
      <c r="C26" s="25"/>
      <c r="D26" s="25"/>
      <c r="E26" s="25"/>
      <c r="F26" s="73"/>
      <c r="G26" s="50"/>
      <c r="H26" s="50"/>
      <c r="I26" s="50"/>
      <c r="J26" s="73"/>
      <c r="K26" s="50"/>
      <c r="L26" s="50"/>
      <c r="M26" s="50"/>
      <c r="N26" s="72"/>
      <c r="O26" s="164"/>
      <c r="P26" s="25"/>
    </row>
    <row r="27" spans="1:16" ht="12.75">
      <c r="A27" s="25"/>
      <c r="B27" s="25"/>
      <c r="C27" s="25"/>
      <c r="D27" s="25"/>
      <c r="E27" s="25"/>
      <c r="F27" s="73"/>
      <c r="G27" s="50"/>
      <c r="H27" s="50"/>
      <c r="I27" s="50"/>
      <c r="J27" s="73"/>
      <c r="K27" s="50"/>
      <c r="L27" s="50"/>
      <c r="M27" s="50"/>
      <c r="N27" s="72"/>
      <c r="O27" s="164"/>
      <c r="P27" s="25"/>
    </row>
    <row r="28" spans="1:16" ht="12.75">
      <c r="A28" s="25"/>
      <c r="B28" s="25"/>
      <c r="C28" s="25"/>
      <c r="D28" s="25"/>
      <c r="E28" s="25"/>
      <c r="F28" s="73"/>
      <c r="G28" s="50"/>
      <c r="H28" s="50"/>
      <c r="I28" s="50"/>
      <c r="J28" s="73"/>
      <c r="K28" s="50"/>
      <c r="L28" s="50"/>
      <c r="M28" s="50"/>
      <c r="N28" s="72"/>
      <c r="O28" s="164"/>
      <c r="P28" s="25"/>
    </row>
    <row r="29" spans="1:16" ht="12.75">
      <c r="A29" s="25"/>
      <c r="B29" s="25"/>
      <c r="C29" s="25"/>
      <c r="D29" s="25"/>
      <c r="E29" s="25"/>
      <c r="F29" s="73"/>
      <c r="G29" s="50"/>
      <c r="H29" s="50"/>
      <c r="I29" s="50"/>
      <c r="J29" s="73"/>
      <c r="K29" s="50"/>
      <c r="L29" s="50"/>
      <c r="M29" s="50"/>
      <c r="N29" s="72"/>
      <c r="O29" s="164"/>
      <c r="P29" s="25"/>
    </row>
    <row r="30" spans="1:16" ht="12.75">
      <c r="A30" s="25"/>
      <c r="B30" s="25"/>
      <c r="C30" s="25"/>
      <c r="D30" s="25"/>
      <c r="E30" s="25"/>
      <c r="F30" s="73"/>
      <c r="G30" s="50"/>
      <c r="H30" s="50"/>
      <c r="I30" s="50"/>
      <c r="J30" s="73"/>
      <c r="K30" s="50"/>
      <c r="L30" s="50"/>
      <c r="M30" s="50"/>
      <c r="N30" s="72"/>
      <c r="O30" s="164"/>
      <c r="P30" s="25"/>
    </row>
    <row r="31" spans="1:16" ht="12.75">
      <c r="A31" s="25"/>
      <c r="B31" s="25"/>
      <c r="C31" s="25"/>
      <c r="D31" s="25"/>
      <c r="E31" s="25"/>
      <c r="F31" s="73"/>
      <c r="G31" s="50"/>
      <c r="H31" s="50"/>
      <c r="I31" s="50"/>
      <c r="J31" s="73"/>
      <c r="K31" s="50"/>
      <c r="L31" s="50"/>
      <c r="M31" s="50"/>
      <c r="N31" s="72"/>
      <c r="O31" s="164"/>
      <c r="P31" s="25"/>
    </row>
    <row r="32" spans="1:16" ht="12.75">
      <c r="A32" s="25"/>
      <c r="B32" s="25"/>
      <c r="C32" s="25"/>
      <c r="D32" s="25"/>
      <c r="E32" s="25"/>
      <c r="F32" s="73"/>
      <c r="G32" s="50"/>
      <c r="H32" s="50"/>
      <c r="I32" s="50"/>
      <c r="J32" s="73"/>
      <c r="K32" s="50"/>
      <c r="L32" s="50"/>
      <c r="M32" s="50"/>
      <c r="N32" s="72"/>
      <c r="O32" s="164"/>
      <c r="P32" s="25"/>
    </row>
    <row r="33" spans="1:16" ht="12.75">
      <c r="A33" s="25"/>
      <c r="B33" s="25"/>
      <c r="C33" s="25"/>
      <c r="D33" s="25"/>
      <c r="E33" s="25"/>
      <c r="F33" s="73"/>
      <c r="G33" s="50"/>
      <c r="H33" s="50"/>
      <c r="I33" s="50"/>
      <c r="J33" s="73"/>
      <c r="K33" s="50"/>
      <c r="L33" s="50"/>
      <c r="M33" s="50"/>
      <c r="N33" s="72"/>
      <c r="O33" s="164"/>
      <c r="P33" s="25"/>
    </row>
    <row r="34" spans="3:16" ht="12.75">
      <c r="C34" s="25"/>
      <c r="D34" s="25"/>
      <c r="E34" s="25"/>
      <c r="F34" s="73"/>
      <c r="G34" s="50"/>
      <c r="H34" s="50"/>
      <c r="I34" s="50"/>
      <c r="J34" s="73"/>
      <c r="K34" s="50"/>
      <c r="L34" s="50"/>
      <c r="M34" s="50"/>
      <c r="N34" s="72"/>
      <c r="O34" s="164"/>
      <c r="P34" s="25"/>
    </row>
    <row r="35" spans="3:16" ht="12.75">
      <c r="C35" s="25"/>
      <c r="D35" s="25"/>
      <c r="E35" s="25"/>
      <c r="F35" s="73"/>
      <c r="G35" s="50"/>
      <c r="H35" s="50"/>
      <c r="I35" s="50"/>
      <c r="J35" s="73"/>
      <c r="K35" s="50"/>
      <c r="L35" s="50"/>
      <c r="M35" s="50"/>
      <c r="N35" s="72"/>
      <c r="O35" s="164"/>
      <c r="P35" s="25"/>
    </row>
    <row r="36" spans="3:16" ht="12.75">
      <c r="C36" s="25"/>
      <c r="D36" s="25"/>
      <c r="E36" s="25"/>
      <c r="F36" s="73"/>
      <c r="G36" s="50"/>
      <c r="H36" s="50"/>
      <c r="I36" s="50"/>
      <c r="J36" s="73"/>
      <c r="K36" s="50"/>
      <c r="L36" s="50"/>
      <c r="M36" s="50"/>
      <c r="N36" s="72"/>
      <c r="O36" s="164"/>
      <c r="P36" s="25"/>
    </row>
    <row r="37" spans="3:16" ht="12.75">
      <c r="C37" s="25"/>
      <c r="D37" s="25"/>
      <c r="E37" s="25"/>
      <c r="F37" s="73"/>
      <c r="G37" s="50"/>
      <c r="H37" s="50"/>
      <c r="I37" s="50"/>
      <c r="J37" s="73"/>
      <c r="K37" s="50"/>
      <c r="L37" s="50"/>
      <c r="M37" s="50"/>
      <c r="N37" s="72"/>
      <c r="O37" s="164"/>
      <c r="P37" s="25"/>
    </row>
    <row r="38" spans="3:16" ht="12.75">
      <c r="C38" s="25"/>
      <c r="D38" s="25"/>
      <c r="E38" s="25"/>
      <c r="F38" s="73"/>
      <c r="G38" s="50"/>
      <c r="H38" s="50"/>
      <c r="I38" s="50"/>
      <c r="J38" s="73"/>
      <c r="K38" s="50"/>
      <c r="L38" s="50"/>
      <c r="M38" s="50"/>
      <c r="N38" s="72"/>
      <c r="O38" s="164"/>
      <c r="P38" s="25"/>
    </row>
    <row r="39" spans="3:16" ht="12.75">
      <c r="C39" s="25"/>
      <c r="D39" s="25"/>
      <c r="E39" s="25"/>
      <c r="F39" s="73"/>
      <c r="G39" s="50"/>
      <c r="H39" s="50"/>
      <c r="I39" s="50"/>
      <c r="J39" s="73"/>
      <c r="K39" s="50"/>
      <c r="L39" s="50"/>
      <c r="M39" s="50"/>
      <c r="N39" s="72"/>
      <c r="O39" s="164"/>
      <c r="P39" s="25"/>
    </row>
    <row r="40" spans="3:16" ht="12.75">
      <c r="C40" s="25"/>
      <c r="D40" s="25"/>
      <c r="E40" s="25"/>
      <c r="F40" s="73"/>
      <c r="G40" s="50"/>
      <c r="H40" s="50"/>
      <c r="I40" s="50"/>
      <c r="J40" s="73"/>
      <c r="K40" s="50"/>
      <c r="L40" s="50"/>
      <c r="M40" s="50"/>
      <c r="N40" s="72"/>
      <c r="O40" s="164"/>
      <c r="P40" s="25"/>
    </row>
    <row r="41" spans="3:16" ht="12.75">
      <c r="C41" s="25"/>
      <c r="D41" s="25"/>
      <c r="E41" s="25"/>
      <c r="F41" s="73"/>
      <c r="G41" s="50"/>
      <c r="H41" s="50"/>
      <c r="I41" s="50"/>
      <c r="J41" s="73"/>
      <c r="K41" s="50"/>
      <c r="L41" s="50"/>
      <c r="M41" s="50"/>
      <c r="N41" s="72"/>
      <c r="O41" s="164"/>
      <c r="P41" s="25"/>
    </row>
    <row r="42" spans="3:16" ht="12.75">
      <c r="C42" s="25"/>
      <c r="D42" s="25"/>
      <c r="E42" s="25"/>
      <c r="F42" s="73"/>
      <c r="G42" s="50"/>
      <c r="H42" s="50"/>
      <c r="I42" s="50"/>
      <c r="J42" s="73"/>
      <c r="K42" s="50"/>
      <c r="L42" s="50"/>
      <c r="M42" s="50"/>
      <c r="N42" s="72"/>
      <c r="O42" s="164"/>
      <c r="P42" s="25"/>
    </row>
    <row r="43" spans="3:16" ht="12.75">
      <c r="C43" s="25"/>
      <c r="D43" s="25"/>
      <c r="E43" s="25"/>
      <c r="F43" s="73"/>
      <c r="G43" s="50"/>
      <c r="H43" s="50"/>
      <c r="I43" s="50"/>
      <c r="J43" s="73"/>
      <c r="K43" s="50"/>
      <c r="L43" s="50"/>
      <c r="M43" s="50"/>
      <c r="N43" s="72"/>
      <c r="O43" s="164"/>
      <c r="P43" s="25"/>
    </row>
    <row r="44" spans="3:16" ht="12.75">
      <c r="C44" s="25"/>
      <c r="D44" s="25"/>
      <c r="E44" s="25"/>
      <c r="F44" s="73"/>
      <c r="G44" s="50"/>
      <c r="H44" s="50"/>
      <c r="I44" s="50"/>
      <c r="J44" s="73"/>
      <c r="K44" s="50"/>
      <c r="L44" s="50"/>
      <c r="M44" s="50"/>
      <c r="N44" s="72"/>
      <c r="O44" s="164"/>
      <c r="P44" s="25"/>
    </row>
    <row r="45" spans="3:16" ht="12.75">
      <c r="C45" s="25"/>
      <c r="D45" s="25"/>
      <c r="E45" s="25"/>
      <c r="F45" s="73"/>
      <c r="G45" s="50"/>
      <c r="H45" s="50"/>
      <c r="I45" s="50"/>
      <c r="J45" s="73"/>
      <c r="K45" s="50"/>
      <c r="L45" s="50"/>
      <c r="M45" s="50"/>
      <c r="N45" s="72"/>
      <c r="O45" s="164"/>
      <c r="P45" s="25"/>
    </row>
    <row r="46" spans="3:16" ht="12.75">
      <c r="C46" s="25"/>
      <c r="D46" s="25"/>
      <c r="E46" s="25"/>
      <c r="F46" s="73"/>
      <c r="G46" s="50"/>
      <c r="H46" s="50"/>
      <c r="I46" s="50"/>
      <c r="J46" s="73"/>
      <c r="K46" s="50"/>
      <c r="L46" s="50"/>
      <c r="M46" s="50"/>
      <c r="N46" s="72"/>
      <c r="O46" s="164"/>
      <c r="P46" s="25"/>
    </row>
    <row r="47" spans="3:16" ht="12.75">
      <c r="C47" s="25"/>
      <c r="D47" s="25"/>
      <c r="E47" s="25"/>
      <c r="F47" s="73"/>
      <c r="G47" s="50"/>
      <c r="H47" s="50"/>
      <c r="I47" s="50"/>
      <c r="J47" s="73"/>
      <c r="K47" s="50"/>
      <c r="L47" s="50"/>
      <c r="M47" s="50"/>
      <c r="N47" s="72"/>
      <c r="O47" s="164"/>
      <c r="P47" s="25"/>
    </row>
    <row r="48" spans="3:16" ht="12.75">
      <c r="C48" s="25"/>
      <c r="D48" s="25"/>
      <c r="E48" s="25"/>
      <c r="F48" s="73"/>
      <c r="G48" s="50"/>
      <c r="H48" s="50"/>
      <c r="I48" s="50"/>
      <c r="J48" s="73"/>
      <c r="K48" s="50"/>
      <c r="L48" s="50"/>
      <c r="M48" s="50"/>
      <c r="N48" s="72"/>
      <c r="O48" s="164"/>
      <c r="P48" s="25"/>
    </row>
    <row r="49" spans="3:16" ht="12.75">
      <c r="C49" s="25"/>
      <c r="D49" s="25"/>
      <c r="E49" s="25"/>
      <c r="F49" s="73"/>
      <c r="G49" s="50"/>
      <c r="H49" s="50"/>
      <c r="I49" s="50"/>
      <c r="J49" s="73"/>
      <c r="K49" s="50"/>
      <c r="L49" s="50"/>
      <c r="M49" s="50"/>
      <c r="N49" s="72"/>
      <c r="O49" s="164"/>
      <c r="P49" s="25"/>
    </row>
    <row r="50" spans="3:16" ht="12.75">
      <c r="C50" s="25"/>
      <c r="D50" s="25"/>
      <c r="E50" s="25"/>
      <c r="F50" s="73"/>
      <c r="G50" s="50"/>
      <c r="H50" s="50"/>
      <c r="I50" s="50"/>
      <c r="J50" s="73"/>
      <c r="K50" s="50"/>
      <c r="L50" s="50"/>
      <c r="M50" s="50"/>
      <c r="N50" s="72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0.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0">
        <f>IF(COUNTIF(Q1:Q1000,"Введите дату рождения")&lt;&gt;0,"1","")</f>
      </c>
    </row>
    <row r="2" spans="1:18" ht="12.75">
      <c r="A2" s="170">
        <v>1</v>
      </c>
      <c r="B2" s="21" t="s">
        <v>384</v>
      </c>
      <c r="C2" s="39" t="s">
        <v>385</v>
      </c>
      <c r="D2" s="39" t="s">
        <v>386</v>
      </c>
      <c r="E2" s="42" t="s">
        <v>99</v>
      </c>
      <c r="F2" s="39" t="s">
        <v>153</v>
      </c>
      <c r="G2" s="176">
        <v>8</v>
      </c>
      <c r="H2" s="270">
        <f>G2</f>
        <v>8</v>
      </c>
      <c r="I2" s="39"/>
      <c r="J2" s="39" t="s">
        <v>126</v>
      </c>
      <c r="K2" s="165">
        <v>21</v>
      </c>
      <c r="L2" s="39">
        <v>72</v>
      </c>
      <c r="M2" s="4">
        <f aca="true" t="shared" si="0" ref="M2:M7">K2/L2</f>
        <v>0.2916666666666667</v>
      </c>
      <c r="N2" s="39" t="s">
        <v>58</v>
      </c>
      <c r="O2" s="39" t="s">
        <v>76</v>
      </c>
      <c r="P2" s="21" t="s">
        <v>21</v>
      </c>
      <c r="Q2" s="134">
        <f>IF(G7=H7,"","Введите дату рождения")</f>
      </c>
      <c r="R2" s="271">
        <f>Отчет!$Q$4</f>
        <v>937015</v>
      </c>
    </row>
    <row r="3" spans="1:18" ht="12.75">
      <c r="A3" s="170">
        <v>2</v>
      </c>
      <c r="B3" s="21" t="s">
        <v>387</v>
      </c>
      <c r="C3" s="39" t="s">
        <v>388</v>
      </c>
      <c r="D3" s="39" t="s">
        <v>374</v>
      </c>
      <c r="E3" s="42" t="s">
        <v>99</v>
      </c>
      <c r="F3" s="39" t="s">
        <v>153</v>
      </c>
      <c r="G3" s="176">
        <v>8</v>
      </c>
      <c r="H3" s="270">
        <v>8</v>
      </c>
      <c r="I3" s="39"/>
      <c r="J3" s="39" t="s">
        <v>126</v>
      </c>
      <c r="K3" s="165">
        <v>12</v>
      </c>
      <c r="L3" s="39">
        <v>72</v>
      </c>
      <c r="M3" s="4">
        <f t="shared" si="0"/>
        <v>0.16666666666666666</v>
      </c>
      <c r="N3" s="39" t="s">
        <v>58</v>
      </c>
      <c r="O3" s="39" t="s">
        <v>76</v>
      </c>
      <c r="P3" s="21" t="s">
        <v>21</v>
      </c>
      <c r="Q3" s="134">
        <f>IF(G4=H4,"","Введите дату рождения")</f>
      </c>
      <c r="R3" s="271">
        <f>Отчет!$Q$4</f>
        <v>937015</v>
      </c>
    </row>
    <row r="4" spans="1:18" ht="12.75">
      <c r="A4" s="37">
        <v>3</v>
      </c>
      <c r="B4" s="39" t="s">
        <v>376</v>
      </c>
      <c r="C4" s="39" t="s">
        <v>377</v>
      </c>
      <c r="D4" s="39" t="s">
        <v>378</v>
      </c>
      <c r="E4" s="42" t="s">
        <v>99</v>
      </c>
      <c r="F4" s="39" t="s">
        <v>153</v>
      </c>
      <c r="G4" s="176">
        <v>9</v>
      </c>
      <c r="H4" s="270">
        <f>G4</f>
        <v>9</v>
      </c>
      <c r="I4" s="39"/>
      <c r="J4" s="39" t="s">
        <v>126</v>
      </c>
      <c r="K4" s="165">
        <v>12</v>
      </c>
      <c r="L4" s="39">
        <v>100</v>
      </c>
      <c r="M4" s="4">
        <f t="shared" si="0"/>
        <v>0.12</v>
      </c>
      <c r="N4" s="39" t="s">
        <v>58</v>
      </c>
      <c r="O4" s="39" t="s">
        <v>76</v>
      </c>
      <c r="P4" s="21" t="s">
        <v>21</v>
      </c>
      <c r="Q4" s="134">
        <f>IF(G5=H5,"","Введите дату рождения")</f>
      </c>
      <c r="R4" s="271">
        <f>Отчет!$Q$4</f>
        <v>937015</v>
      </c>
    </row>
    <row r="5" spans="1:18" ht="12.75">
      <c r="A5" s="37">
        <v>4</v>
      </c>
      <c r="B5" s="21" t="s">
        <v>379</v>
      </c>
      <c r="C5" s="39" t="s">
        <v>370</v>
      </c>
      <c r="D5" s="39" t="s">
        <v>380</v>
      </c>
      <c r="E5" s="42" t="s">
        <v>99</v>
      </c>
      <c r="F5" s="39" t="s">
        <v>153</v>
      </c>
      <c r="G5" s="176">
        <v>9</v>
      </c>
      <c r="H5" s="270">
        <f>G5</f>
        <v>9</v>
      </c>
      <c r="I5" s="39"/>
      <c r="J5" s="39" t="s">
        <v>126</v>
      </c>
      <c r="K5" s="165">
        <v>9</v>
      </c>
      <c r="L5" s="39">
        <v>100</v>
      </c>
      <c r="M5" s="4">
        <f t="shared" si="0"/>
        <v>0.09</v>
      </c>
      <c r="N5" s="39" t="s">
        <v>58</v>
      </c>
      <c r="O5" s="39" t="s">
        <v>76</v>
      </c>
      <c r="P5" s="21" t="s">
        <v>21</v>
      </c>
      <c r="Q5" s="134">
        <f>IF(G6=H6,"","Введите дату рождения")</f>
      </c>
      <c r="R5" s="271">
        <f>Отчет!$Q$4</f>
        <v>937015</v>
      </c>
    </row>
    <row r="6" spans="1:18" ht="12.75">
      <c r="A6" s="37">
        <v>5</v>
      </c>
      <c r="B6" s="21" t="s">
        <v>381</v>
      </c>
      <c r="C6" s="39" t="s">
        <v>382</v>
      </c>
      <c r="D6" s="39" t="s">
        <v>383</v>
      </c>
      <c r="E6" s="42" t="s">
        <v>99</v>
      </c>
      <c r="F6" s="39" t="s">
        <v>153</v>
      </c>
      <c r="G6" s="176">
        <v>9</v>
      </c>
      <c r="H6" s="270">
        <f>G6</f>
        <v>9</v>
      </c>
      <c r="I6" s="39"/>
      <c r="J6" s="39" t="s">
        <v>126</v>
      </c>
      <c r="K6" s="165">
        <v>4</v>
      </c>
      <c r="L6" s="39">
        <v>100</v>
      </c>
      <c r="M6" s="4">
        <f t="shared" si="0"/>
        <v>0.04</v>
      </c>
      <c r="N6" s="39" t="s">
        <v>58</v>
      </c>
      <c r="O6" s="39" t="s">
        <v>76</v>
      </c>
      <c r="P6" s="21" t="s">
        <v>21</v>
      </c>
      <c r="Q6" s="134">
        <f>IF(G2=H2,"","Введите дату рождения")</f>
      </c>
      <c r="R6" s="271">
        <f>Отчет!$Q$4</f>
        <v>937015</v>
      </c>
    </row>
    <row r="7" spans="1:18" ht="12.75">
      <c r="A7" s="37">
        <v>6</v>
      </c>
      <c r="B7" s="39" t="s">
        <v>375</v>
      </c>
      <c r="C7" s="39" t="s">
        <v>370</v>
      </c>
      <c r="D7" s="39" t="s">
        <v>371</v>
      </c>
      <c r="E7" s="42" t="s">
        <v>99</v>
      </c>
      <c r="F7" s="39" t="s">
        <v>153</v>
      </c>
      <c r="G7" s="176">
        <v>11</v>
      </c>
      <c r="H7" s="270">
        <f>G7</f>
        <v>11</v>
      </c>
      <c r="I7" s="39"/>
      <c r="J7" s="39" t="s">
        <v>126</v>
      </c>
      <c r="K7" s="165">
        <v>4</v>
      </c>
      <c r="L7" s="39">
        <v>90</v>
      </c>
      <c r="M7" s="4">
        <f t="shared" si="0"/>
        <v>0.044444444444444446</v>
      </c>
      <c r="N7" s="39" t="s">
        <v>58</v>
      </c>
      <c r="O7" s="39" t="s">
        <v>76</v>
      </c>
      <c r="P7" s="21" t="s">
        <v>21</v>
      </c>
      <c r="Q7" s="134">
        <f>IF(G3=H3,"","Введите дату рождения")</f>
      </c>
      <c r="R7" s="271">
        <f>Отчет!$Q$4</f>
        <v>937015</v>
      </c>
    </row>
    <row r="8" spans="1:18" ht="12.75">
      <c r="A8" s="166"/>
      <c r="O8" s="39"/>
      <c r="P8" s="21" t="s">
        <v>21</v>
      </c>
      <c r="Q8" s="134" t="e">
        <f>IF(#REF!=#REF!,"","Введите дату рождения")</f>
        <v>#REF!</v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/>
      <c r="G9" s="176"/>
      <c r="H9" s="270">
        <f aca="true" t="shared" si="1" ref="H9:H20">G9</f>
        <v>0</v>
      </c>
      <c r="I9" s="39"/>
      <c r="J9" s="39"/>
      <c r="K9" s="165"/>
      <c r="L9" s="39"/>
      <c r="M9" s="4" t="e">
        <f aca="true" t="shared" si="2" ref="M9:M20">K9/L9</f>
        <v>#DIV/0!</v>
      </c>
      <c r="N9" s="39"/>
      <c r="O9" s="39"/>
      <c r="P9" s="21" t="s">
        <v>21</v>
      </c>
      <c r="Q9" s="134">
        <f aca="true" t="shared" si="3" ref="Q9:Q20">IF(G9=H9,"","Введите дату рождения")</f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/>
      <c r="G10" s="176"/>
      <c r="H10" s="270">
        <f t="shared" si="1"/>
        <v>0</v>
      </c>
      <c r="I10" s="39"/>
      <c r="J10" s="39"/>
      <c r="K10" s="165"/>
      <c r="L10" s="39"/>
      <c r="M10" s="4" t="e">
        <f t="shared" si="2"/>
        <v>#DIV/0!</v>
      </c>
      <c r="N10" s="39"/>
      <c r="O10" s="39"/>
      <c r="P10" s="21" t="s">
        <v>21</v>
      </c>
      <c r="Q10" s="134">
        <f t="shared" si="3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1"/>
        <v>0</v>
      </c>
      <c r="I11" s="39"/>
      <c r="J11" s="39"/>
      <c r="K11" s="165"/>
      <c r="L11" s="39"/>
      <c r="M11" s="4" t="e">
        <f t="shared" si="2"/>
        <v>#DIV/0!</v>
      </c>
      <c r="N11" s="39"/>
      <c r="O11" s="39"/>
      <c r="P11" s="21" t="s">
        <v>21</v>
      </c>
      <c r="Q11" s="134">
        <f t="shared" si="3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1"/>
        <v>0</v>
      </c>
      <c r="I12" s="39"/>
      <c r="J12" s="39"/>
      <c r="K12" s="165"/>
      <c r="L12" s="39"/>
      <c r="M12" s="4" t="e">
        <f t="shared" si="2"/>
        <v>#DIV/0!</v>
      </c>
      <c r="N12" s="39"/>
      <c r="O12" s="39"/>
      <c r="P12" s="21" t="s">
        <v>21</v>
      </c>
      <c r="Q12" s="134">
        <f t="shared" si="3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1"/>
        <v>0</v>
      </c>
      <c r="I13" s="39"/>
      <c r="J13" s="39"/>
      <c r="K13" s="165"/>
      <c r="L13" s="39"/>
      <c r="M13" s="4" t="e">
        <f t="shared" si="2"/>
        <v>#DIV/0!</v>
      </c>
      <c r="N13" s="39"/>
      <c r="O13" s="39"/>
      <c r="P13" s="21" t="s">
        <v>21</v>
      </c>
      <c r="Q13" s="134">
        <f t="shared" si="3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1"/>
        <v>0</v>
      </c>
      <c r="I14" s="39"/>
      <c r="J14" s="39"/>
      <c r="K14" s="165"/>
      <c r="L14" s="39"/>
      <c r="M14" s="4" t="e">
        <f t="shared" si="2"/>
        <v>#DIV/0!</v>
      </c>
      <c r="N14" s="39"/>
      <c r="O14" s="39"/>
      <c r="P14" s="21" t="s">
        <v>21</v>
      </c>
      <c r="Q14" s="134">
        <f t="shared" si="3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1"/>
        <v>0</v>
      </c>
      <c r="I15" s="39"/>
      <c r="J15" s="39"/>
      <c r="K15" s="165"/>
      <c r="L15" s="39"/>
      <c r="M15" s="4" t="e">
        <f t="shared" si="2"/>
        <v>#DIV/0!</v>
      </c>
      <c r="N15" s="39"/>
      <c r="O15" s="39"/>
      <c r="P15" s="21" t="s">
        <v>21</v>
      </c>
      <c r="Q15" s="134">
        <f t="shared" si="3"/>
      </c>
      <c r="R15" s="271">
        <f>Отчет!$Q$4</f>
        <v>937015</v>
      </c>
    </row>
    <row r="16" spans="1:18" ht="12.75">
      <c r="A16" s="3"/>
      <c r="B16" s="6"/>
      <c r="C16" s="3"/>
      <c r="D16" s="3"/>
      <c r="E16" s="170"/>
      <c r="F16" s="39"/>
      <c r="G16" s="176"/>
      <c r="H16" s="270">
        <f t="shared" si="1"/>
        <v>0</v>
      </c>
      <c r="I16" s="5"/>
      <c r="J16" s="39"/>
      <c r="K16" s="5"/>
      <c r="L16" s="3"/>
      <c r="M16" s="4" t="e">
        <f t="shared" si="2"/>
        <v>#DIV/0!</v>
      </c>
      <c r="N16" s="37"/>
      <c r="O16" s="39"/>
      <c r="P16" s="21" t="s">
        <v>21</v>
      </c>
      <c r="Q16" s="134">
        <f t="shared" si="3"/>
      </c>
      <c r="R16" s="271">
        <f>Отчет!$Q$4</f>
        <v>937015</v>
      </c>
    </row>
    <row r="17" spans="1:18" ht="12.75">
      <c r="A17" s="3"/>
      <c r="B17" s="6"/>
      <c r="C17" s="3"/>
      <c r="D17" s="3"/>
      <c r="E17" s="170"/>
      <c r="F17" s="39"/>
      <c r="G17" s="176"/>
      <c r="H17" s="270">
        <f t="shared" si="1"/>
        <v>0</v>
      </c>
      <c r="I17" s="5"/>
      <c r="J17" s="39"/>
      <c r="K17" s="5"/>
      <c r="L17" s="3"/>
      <c r="M17" s="4" t="e">
        <f t="shared" si="2"/>
        <v>#DIV/0!</v>
      </c>
      <c r="N17" s="37"/>
      <c r="O17" s="39"/>
      <c r="P17" s="21" t="s">
        <v>21</v>
      </c>
      <c r="Q17" s="134">
        <f t="shared" si="3"/>
      </c>
      <c r="R17" s="271">
        <f>Отчет!$Q$4</f>
        <v>937015</v>
      </c>
    </row>
    <row r="18" spans="1:18" ht="12.75">
      <c r="A18" s="3"/>
      <c r="B18" s="6"/>
      <c r="C18" s="3"/>
      <c r="D18" s="3"/>
      <c r="E18" s="170"/>
      <c r="F18" s="39"/>
      <c r="G18" s="176"/>
      <c r="H18" s="270">
        <f t="shared" si="1"/>
        <v>0</v>
      </c>
      <c r="I18" s="5"/>
      <c r="J18" s="39"/>
      <c r="K18" s="5"/>
      <c r="L18" s="3"/>
      <c r="M18" s="4" t="e">
        <f t="shared" si="2"/>
        <v>#DIV/0!</v>
      </c>
      <c r="N18" s="37"/>
      <c r="O18" s="39"/>
      <c r="P18" s="21" t="s">
        <v>21</v>
      </c>
      <c r="Q18" s="134">
        <f t="shared" si="3"/>
      </c>
      <c r="R18" s="271">
        <f>Отчет!$Q$4</f>
        <v>937015</v>
      </c>
    </row>
    <row r="19" spans="1:18" ht="12.75">
      <c r="A19" s="106"/>
      <c r="B19" s="117"/>
      <c r="C19" s="106"/>
      <c r="D19" s="106"/>
      <c r="E19" s="171"/>
      <c r="F19" s="39"/>
      <c r="G19" s="176"/>
      <c r="H19" s="270">
        <f t="shared" si="1"/>
        <v>0</v>
      </c>
      <c r="I19" s="108"/>
      <c r="J19" s="100"/>
      <c r="K19" s="108"/>
      <c r="L19" s="106"/>
      <c r="M19" s="4" t="e">
        <f t="shared" si="2"/>
        <v>#DIV/0!</v>
      </c>
      <c r="N19" s="110"/>
      <c r="O19" s="39"/>
      <c r="P19" s="105" t="s">
        <v>21</v>
      </c>
      <c r="Q19" s="134">
        <f t="shared" si="3"/>
      </c>
      <c r="R19" s="271">
        <f>Отчет!$Q$4</f>
        <v>937015</v>
      </c>
    </row>
    <row r="20" spans="1:18" ht="12.75">
      <c r="A20" s="3"/>
      <c r="B20" s="6"/>
      <c r="C20" s="3"/>
      <c r="D20" s="3"/>
      <c r="E20" s="170"/>
      <c r="F20" s="39"/>
      <c r="G20" s="176"/>
      <c r="H20" s="270">
        <f t="shared" si="1"/>
        <v>0</v>
      </c>
      <c r="I20" s="46"/>
      <c r="J20" s="39"/>
      <c r="K20" s="163"/>
      <c r="L20" s="3"/>
      <c r="M20" s="4" t="e">
        <f t="shared" si="2"/>
        <v>#DIV/0!</v>
      </c>
      <c r="N20" s="3"/>
      <c r="O20" s="39"/>
      <c r="P20" s="21" t="s">
        <v>21</v>
      </c>
      <c r="Q20" s="134">
        <f t="shared" si="3"/>
      </c>
      <c r="R20" s="271">
        <f>Отчет!$Q$4</f>
        <v>937015</v>
      </c>
    </row>
    <row r="21" spans="1:16" ht="12.75">
      <c r="A21" s="69"/>
      <c r="B21" s="74"/>
      <c r="C21" s="69"/>
      <c r="D21" s="69"/>
      <c r="E21" s="70"/>
      <c r="F21" s="73"/>
      <c r="G21" s="69"/>
      <c r="H21" s="69"/>
      <c r="I21" s="49"/>
      <c r="J21" s="73"/>
      <c r="K21" s="49"/>
      <c r="L21" s="69"/>
      <c r="M21" s="71"/>
      <c r="N21" s="69"/>
      <c r="O21" s="164"/>
      <c r="P21" s="25"/>
    </row>
    <row r="22" spans="1:16" ht="12.75">
      <c r="A22" s="69"/>
      <c r="B22" s="74"/>
      <c r="C22" s="69"/>
      <c r="D22" s="69"/>
      <c r="E22" s="70"/>
      <c r="F22" s="73"/>
      <c r="G22" s="69"/>
      <c r="H22" s="69"/>
      <c r="I22" s="49"/>
      <c r="J22" s="73"/>
      <c r="K22" s="49"/>
      <c r="L22" s="69"/>
      <c r="M22" s="71"/>
      <c r="N22" s="69"/>
      <c r="O22" s="164"/>
      <c r="P22" s="25"/>
    </row>
    <row r="23" spans="1:16" ht="12.75">
      <c r="A23" s="69"/>
      <c r="B23" s="74"/>
      <c r="C23" s="69"/>
      <c r="D23" s="69"/>
      <c r="E23" s="70"/>
      <c r="F23" s="73"/>
      <c r="G23" s="69"/>
      <c r="H23" s="69"/>
      <c r="I23" s="49"/>
      <c r="J23" s="73"/>
      <c r="K23" s="49"/>
      <c r="L23" s="69"/>
      <c r="M23" s="71"/>
      <c r="N23" s="69"/>
      <c r="O23" s="164"/>
      <c r="P23" s="25"/>
    </row>
    <row r="24" spans="1:16" ht="12.75">
      <c r="A24" s="69"/>
      <c r="B24" s="74"/>
      <c r="C24" s="69"/>
      <c r="D24" s="69"/>
      <c r="E24" s="70"/>
      <c r="F24" s="73"/>
      <c r="G24" s="69"/>
      <c r="H24" s="69"/>
      <c r="I24" s="49"/>
      <c r="J24" s="73"/>
      <c r="K24" s="49"/>
      <c r="L24" s="69"/>
      <c r="M24" s="71"/>
      <c r="N24" s="69"/>
      <c r="O24" s="164"/>
      <c r="P24" s="25"/>
    </row>
    <row r="25" spans="1:16" ht="12.75">
      <c r="A25" s="69"/>
      <c r="B25" s="74"/>
      <c r="C25" s="69"/>
      <c r="D25" s="69"/>
      <c r="E25" s="70"/>
      <c r="F25" s="73"/>
      <c r="G25" s="69"/>
      <c r="H25" s="69"/>
      <c r="I25" s="49"/>
      <c r="J25" s="73"/>
      <c r="K25" s="49"/>
      <c r="L25" s="69"/>
      <c r="M25" s="71"/>
      <c r="N25" s="69"/>
      <c r="O25" s="164"/>
      <c r="P25" s="25"/>
    </row>
    <row r="26" spans="1:16" ht="12.75">
      <c r="A26" s="69"/>
      <c r="B26" s="74"/>
      <c r="C26" s="69"/>
      <c r="D26" s="69"/>
      <c r="E26" s="70"/>
      <c r="F26" s="73"/>
      <c r="G26" s="69"/>
      <c r="H26" s="69"/>
      <c r="I26" s="49"/>
      <c r="J26" s="73"/>
      <c r="K26" s="49"/>
      <c r="L26" s="69"/>
      <c r="M26" s="71"/>
      <c r="N26" s="69"/>
      <c r="O26" s="164"/>
      <c r="P26" s="25"/>
    </row>
    <row r="27" spans="1:16" ht="12.75">
      <c r="A27" s="69"/>
      <c r="B27" s="74"/>
      <c r="C27" s="69"/>
      <c r="D27" s="69"/>
      <c r="E27" s="70"/>
      <c r="F27" s="73"/>
      <c r="G27" s="69"/>
      <c r="H27" s="69"/>
      <c r="I27" s="49"/>
      <c r="J27" s="73"/>
      <c r="K27" s="49"/>
      <c r="L27" s="69"/>
      <c r="M27" s="71"/>
      <c r="N27" s="69"/>
      <c r="O27" s="164"/>
      <c r="P27" s="25"/>
    </row>
    <row r="28" spans="1:16" ht="12.75">
      <c r="A28" s="69"/>
      <c r="B28" s="74"/>
      <c r="C28" s="69"/>
      <c r="D28" s="69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69"/>
      <c r="B29" s="74"/>
      <c r="C29" s="69"/>
      <c r="D29" s="69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69"/>
      <c r="B30" s="74"/>
      <c r="C30" s="69"/>
      <c r="D30" s="69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69"/>
      <c r="B31" s="74"/>
      <c r="C31" s="69"/>
      <c r="D31" s="69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69"/>
      <c r="B32" s="74"/>
      <c r="C32" s="69"/>
      <c r="D32" s="69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69"/>
      <c r="B33" s="74"/>
      <c r="C33" s="69"/>
      <c r="D33" s="69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69"/>
      <c r="D34" s="69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69"/>
      <c r="D35" s="69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69"/>
      <c r="D36" s="69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69"/>
      <c r="D37" s="69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69"/>
      <c r="D38" s="69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69"/>
      <c r="D39" s="69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69"/>
      <c r="D40" s="69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69"/>
      <c r="D41" s="69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69"/>
      <c r="D42" s="69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69"/>
      <c r="D43" s="69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69"/>
      <c r="D44" s="69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69"/>
      <c r="D45" s="69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69"/>
      <c r="D46" s="69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69"/>
      <c r="D47" s="69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69"/>
      <c r="D48" s="69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69"/>
      <c r="D49" s="69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69"/>
      <c r="D50" s="69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9:N50 N2:N7">
      <formula1>Статус</formula1>
    </dataValidation>
    <dataValidation type="list" allowBlank="1" showInputMessage="1" showErrorMessage="1" sqref="E9:E50 E2:E7">
      <formula1>Пол</formula1>
    </dataValidation>
    <dataValidation type="list" allowBlank="1" showInputMessage="1" showErrorMessage="1" sqref="I9:I50 I2:I7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9:F50 F2:F7">
      <formula1>ОУ</formula1>
    </dataValidation>
    <dataValidation type="list" allowBlank="1" showInputMessage="1" showErrorMessage="1" sqref="J9:J50 J2:J7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55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0.75390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43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56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79">
        <f>IF(COUNTIF(Q1:Q1000,"Введите дату рождения")&lt;&gt;0,"1","")</f>
      </c>
    </row>
    <row r="2" spans="1:18" ht="12.75">
      <c r="A2" s="42">
        <v>1</v>
      </c>
      <c r="B2" s="39" t="s">
        <v>369</v>
      </c>
      <c r="C2" s="39" t="s">
        <v>370</v>
      </c>
      <c r="D2" s="39" t="s">
        <v>371</v>
      </c>
      <c r="E2" s="42" t="s">
        <v>99</v>
      </c>
      <c r="F2" s="39" t="s">
        <v>153</v>
      </c>
      <c r="G2" s="176">
        <v>11</v>
      </c>
      <c r="H2" s="270">
        <f aca="true" t="shared" si="0" ref="H2:H20">G2</f>
        <v>11</v>
      </c>
      <c r="I2" s="39"/>
      <c r="J2" s="39" t="s">
        <v>126</v>
      </c>
      <c r="K2" s="165">
        <v>22</v>
      </c>
      <c r="L2" s="39">
        <v>51</v>
      </c>
      <c r="M2" s="57">
        <f aca="true" t="shared" si="1" ref="M2:M20">K2/L2</f>
        <v>0.43137254901960786</v>
      </c>
      <c r="N2" s="39" t="s">
        <v>58</v>
      </c>
      <c r="O2" s="39" t="s">
        <v>76</v>
      </c>
      <c r="P2" s="21" t="s">
        <v>17</v>
      </c>
      <c r="Q2" s="134">
        <f>IF(G2=H2,"","Введите дату рождения")</f>
      </c>
      <c r="R2" s="271">
        <f>Отчет!$Q$4</f>
        <v>937015</v>
      </c>
    </row>
    <row r="3" spans="1:18" ht="12.75" customHeight="1">
      <c r="A3" s="42">
        <v>2</v>
      </c>
      <c r="B3" s="39" t="s">
        <v>372</v>
      </c>
      <c r="C3" s="39" t="s">
        <v>373</v>
      </c>
      <c r="D3" s="39" t="s">
        <v>374</v>
      </c>
      <c r="E3" s="42" t="s">
        <v>99</v>
      </c>
      <c r="F3" s="39" t="s">
        <v>153</v>
      </c>
      <c r="G3" s="176">
        <v>11</v>
      </c>
      <c r="H3" s="270">
        <f t="shared" si="0"/>
        <v>11</v>
      </c>
      <c r="I3" s="39"/>
      <c r="J3" s="39" t="s">
        <v>126</v>
      </c>
      <c r="K3" s="165">
        <v>3</v>
      </c>
      <c r="L3" s="39">
        <v>51</v>
      </c>
      <c r="M3" s="57">
        <f t="shared" si="1"/>
        <v>0.058823529411764705</v>
      </c>
      <c r="N3" s="39" t="s">
        <v>58</v>
      </c>
      <c r="O3" s="39" t="s">
        <v>76</v>
      </c>
      <c r="P3" s="21" t="s">
        <v>17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 customHeight="1">
      <c r="A4" s="166"/>
      <c r="B4" s="21"/>
      <c r="C4" s="39"/>
      <c r="D4" s="39"/>
      <c r="E4" s="42"/>
      <c r="F4" s="39"/>
      <c r="G4" s="176"/>
      <c r="H4" s="270">
        <f t="shared" si="0"/>
        <v>0</v>
      </c>
      <c r="I4" s="39"/>
      <c r="J4" s="39"/>
      <c r="K4" s="165"/>
      <c r="L4" s="39"/>
      <c r="M4" s="57" t="e">
        <f t="shared" si="1"/>
        <v>#DIV/0!</v>
      </c>
      <c r="N4" s="39"/>
      <c r="O4" s="39"/>
      <c r="P4" s="21" t="s">
        <v>17</v>
      </c>
      <c r="Q4" s="134">
        <f t="shared" si="2"/>
      </c>
      <c r="R4" s="271">
        <f>Отчет!$Q$4</f>
        <v>937015</v>
      </c>
    </row>
    <row r="5" spans="1:18" ht="12.75">
      <c r="A5" s="166"/>
      <c r="B5" s="21"/>
      <c r="C5" s="39"/>
      <c r="D5" s="39"/>
      <c r="E5" s="42"/>
      <c r="F5" s="39"/>
      <c r="G5" s="176"/>
      <c r="H5" s="270">
        <f t="shared" si="0"/>
        <v>0</v>
      </c>
      <c r="I5" s="39"/>
      <c r="J5" s="39"/>
      <c r="K5" s="165"/>
      <c r="L5" s="39"/>
      <c r="M5" s="57" t="e">
        <f t="shared" si="1"/>
        <v>#DIV/0!</v>
      </c>
      <c r="N5" s="39"/>
      <c r="O5" s="39"/>
      <c r="P5" s="21" t="s">
        <v>17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/>
      <c r="G6" s="176"/>
      <c r="H6" s="270">
        <f t="shared" si="0"/>
        <v>0</v>
      </c>
      <c r="I6" s="39"/>
      <c r="J6" s="39"/>
      <c r="K6" s="165"/>
      <c r="L6" s="39"/>
      <c r="M6" s="57" t="e">
        <f t="shared" si="1"/>
        <v>#DIV/0!</v>
      </c>
      <c r="N6" s="39"/>
      <c r="O6" s="39"/>
      <c r="P6" s="21" t="s">
        <v>17</v>
      </c>
      <c r="Q6" s="134">
        <f t="shared" si="2"/>
      </c>
      <c r="R6" s="271">
        <f>Отчет!$Q$4</f>
        <v>937015</v>
      </c>
    </row>
    <row r="7" spans="1:18" ht="12.75" customHeight="1">
      <c r="A7" s="166"/>
      <c r="B7" s="21"/>
      <c r="C7" s="39"/>
      <c r="D7" s="39"/>
      <c r="E7" s="42"/>
      <c r="F7" s="39"/>
      <c r="G7" s="176"/>
      <c r="H7" s="270">
        <f t="shared" si="0"/>
        <v>0</v>
      </c>
      <c r="I7" s="39"/>
      <c r="J7" s="39"/>
      <c r="K7" s="165"/>
      <c r="L7" s="39"/>
      <c r="M7" s="57" t="e">
        <f t="shared" si="1"/>
        <v>#DIV/0!</v>
      </c>
      <c r="N7" s="39"/>
      <c r="O7" s="39"/>
      <c r="P7" s="21" t="s">
        <v>17</v>
      </c>
      <c r="Q7" s="134">
        <f t="shared" si="2"/>
      </c>
      <c r="R7" s="271">
        <f>Отчет!$Q$4</f>
        <v>937015</v>
      </c>
    </row>
    <row r="8" spans="1:18" ht="12.75">
      <c r="A8" s="166"/>
      <c r="B8" s="21"/>
      <c r="C8" s="39"/>
      <c r="D8" s="39"/>
      <c r="E8" s="42"/>
      <c r="F8" s="39"/>
      <c r="G8" s="176"/>
      <c r="H8" s="270">
        <f t="shared" si="0"/>
        <v>0</v>
      </c>
      <c r="I8" s="39"/>
      <c r="J8" s="39"/>
      <c r="K8" s="165"/>
      <c r="L8" s="39"/>
      <c r="M8" s="57" t="e">
        <f t="shared" si="1"/>
        <v>#DIV/0!</v>
      </c>
      <c r="N8" s="39"/>
      <c r="O8" s="39"/>
      <c r="P8" s="21" t="s">
        <v>17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/>
      <c r="G9" s="176"/>
      <c r="H9" s="270">
        <f t="shared" si="0"/>
        <v>0</v>
      </c>
      <c r="I9" s="39"/>
      <c r="J9" s="39"/>
      <c r="K9" s="165"/>
      <c r="L9" s="39"/>
      <c r="M9" s="57" t="e">
        <f t="shared" si="1"/>
        <v>#DIV/0!</v>
      </c>
      <c r="N9" s="39"/>
      <c r="O9" s="39"/>
      <c r="P9" s="21" t="s">
        <v>17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/>
      <c r="G10" s="176"/>
      <c r="H10" s="270">
        <f t="shared" si="0"/>
        <v>0</v>
      </c>
      <c r="I10" s="39"/>
      <c r="J10" s="39"/>
      <c r="K10" s="165"/>
      <c r="L10" s="39"/>
      <c r="M10" s="57" t="e">
        <f t="shared" si="1"/>
        <v>#DIV/0!</v>
      </c>
      <c r="N10" s="39"/>
      <c r="O10" s="39"/>
      <c r="P10" s="21" t="s">
        <v>17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0"/>
        <v>0</v>
      </c>
      <c r="I11" s="39"/>
      <c r="J11" s="39"/>
      <c r="K11" s="165"/>
      <c r="L11" s="39"/>
      <c r="M11" s="57" t="e">
        <f t="shared" si="1"/>
        <v>#DIV/0!</v>
      </c>
      <c r="N11" s="39"/>
      <c r="O11" s="39"/>
      <c r="P11" s="21" t="s">
        <v>17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0"/>
        <v>0</v>
      </c>
      <c r="I12" s="39"/>
      <c r="J12" s="39"/>
      <c r="K12" s="165"/>
      <c r="L12" s="39"/>
      <c r="M12" s="57" t="e">
        <f t="shared" si="1"/>
        <v>#DIV/0!</v>
      </c>
      <c r="N12" s="39"/>
      <c r="O12" s="39"/>
      <c r="P12" s="21" t="s">
        <v>17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0"/>
        <v>0</v>
      </c>
      <c r="I13" s="39"/>
      <c r="J13" s="39"/>
      <c r="K13" s="165"/>
      <c r="L13" s="39"/>
      <c r="M13" s="57" t="e">
        <f t="shared" si="1"/>
        <v>#DIV/0!</v>
      </c>
      <c r="N13" s="39"/>
      <c r="O13" s="39"/>
      <c r="P13" s="21" t="s">
        <v>17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0"/>
        <v>0</v>
      </c>
      <c r="I14" s="39"/>
      <c r="J14" s="39"/>
      <c r="K14" s="165"/>
      <c r="L14" s="39"/>
      <c r="M14" s="57" t="e">
        <f t="shared" si="1"/>
        <v>#DIV/0!</v>
      </c>
      <c r="N14" s="39"/>
      <c r="O14" s="39"/>
      <c r="P14" s="21" t="s">
        <v>17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0"/>
        <v>0</v>
      </c>
      <c r="I15" s="39"/>
      <c r="J15" s="39"/>
      <c r="K15" s="165"/>
      <c r="L15" s="39"/>
      <c r="M15" s="57" t="e">
        <f t="shared" si="1"/>
        <v>#DIV/0!</v>
      </c>
      <c r="N15" s="39"/>
      <c r="O15" s="39"/>
      <c r="P15" s="21" t="s">
        <v>17</v>
      </c>
      <c r="Q15" s="134">
        <f t="shared" si="2"/>
      </c>
      <c r="R15" s="271">
        <f>Отчет!$Q$4</f>
        <v>937015</v>
      </c>
    </row>
    <row r="16" spans="1:18" ht="12.75">
      <c r="A16" s="3"/>
      <c r="B16" s="3"/>
      <c r="C16" s="3"/>
      <c r="D16" s="3"/>
      <c r="E16" s="42"/>
      <c r="F16" s="39"/>
      <c r="G16" s="176"/>
      <c r="H16" s="270">
        <f t="shared" si="0"/>
        <v>0</v>
      </c>
      <c r="I16" s="5"/>
      <c r="J16" s="39"/>
      <c r="K16" s="54"/>
      <c r="L16" s="22"/>
      <c r="M16" s="57" t="e">
        <f t="shared" si="1"/>
        <v>#DIV/0!</v>
      </c>
      <c r="N16" s="37"/>
      <c r="O16" s="39"/>
      <c r="P16" s="21" t="s">
        <v>17</v>
      </c>
      <c r="Q16" s="134">
        <f t="shared" si="2"/>
      </c>
      <c r="R16" s="271">
        <f>Отчет!$Q$4</f>
        <v>937015</v>
      </c>
    </row>
    <row r="17" spans="1:18" ht="12.75">
      <c r="A17" s="3"/>
      <c r="B17" s="3"/>
      <c r="C17" s="3"/>
      <c r="D17" s="3"/>
      <c r="E17" s="42"/>
      <c r="F17" s="39"/>
      <c r="G17" s="176"/>
      <c r="H17" s="270">
        <f t="shared" si="0"/>
        <v>0</v>
      </c>
      <c r="I17" s="5"/>
      <c r="J17" s="39"/>
      <c r="K17" s="54"/>
      <c r="L17" s="22"/>
      <c r="M17" s="57" t="e">
        <f t="shared" si="1"/>
        <v>#DIV/0!</v>
      </c>
      <c r="N17" s="37"/>
      <c r="O17" s="39"/>
      <c r="P17" s="21" t="s">
        <v>17</v>
      </c>
      <c r="Q17" s="134">
        <f t="shared" si="2"/>
      </c>
      <c r="R17" s="271">
        <f>Отчет!$Q$4</f>
        <v>937015</v>
      </c>
    </row>
    <row r="18" spans="1:18" ht="12.75">
      <c r="A18" s="3"/>
      <c r="B18" s="3"/>
      <c r="C18" s="3"/>
      <c r="D18" s="3"/>
      <c r="E18" s="42"/>
      <c r="F18" s="39"/>
      <c r="G18" s="176"/>
      <c r="H18" s="270">
        <f t="shared" si="0"/>
        <v>0</v>
      </c>
      <c r="I18" s="5"/>
      <c r="J18" s="39"/>
      <c r="K18" s="54"/>
      <c r="L18" s="22"/>
      <c r="M18" s="57" t="e">
        <f t="shared" si="1"/>
        <v>#DIV/0!</v>
      </c>
      <c r="N18" s="37"/>
      <c r="O18" s="39"/>
      <c r="P18" s="21" t="s">
        <v>17</v>
      </c>
      <c r="Q18" s="134">
        <f t="shared" si="2"/>
      </c>
      <c r="R18" s="271">
        <f>Отчет!$Q$4</f>
        <v>937015</v>
      </c>
    </row>
    <row r="19" spans="1:18" ht="12.75">
      <c r="A19" s="106"/>
      <c r="B19" s="106"/>
      <c r="C19" s="106"/>
      <c r="D19" s="106"/>
      <c r="E19" s="104"/>
      <c r="F19" s="39"/>
      <c r="G19" s="176"/>
      <c r="H19" s="270">
        <f t="shared" si="0"/>
        <v>0</v>
      </c>
      <c r="I19" s="108"/>
      <c r="J19" s="100"/>
      <c r="K19" s="109"/>
      <c r="L19" s="107"/>
      <c r="M19" s="57" t="e">
        <f t="shared" si="1"/>
        <v>#DIV/0!</v>
      </c>
      <c r="N19" s="110"/>
      <c r="O19" s="39"/>
      <c r="P19" s="105" t="s">
        <v>17</v>
      </c>
      <c r="Q19" s="134">
        <f t="shared" si="2"/>
      </c>
      <c r="R19" s="271">
        <f>Отчет!$Q$4</f>
        <v>937015</v>
      </c>
    </row>
    <row r="20" spans="1:18" ht="12.75">
      <c r="A20" s="3"/>
      <c r="B20" s="3"/>
      <c r="C20" s="3"/>
      <c r="D20" s="3"/>
      <c r="E20" s="42"/>
      <c r="F20" s="39"/>
      <c r="G20" s="176"/>
      <c r="H20" s="270">
        <f t="shared" si="0"/>
        <v>0</v>
      </c>
      <c r="I20" s="46"/>
      <c r="J20" s="39"/>
      <c r="K20" s="202"/>
      <c r="L20" s="22"/>
      <c r="M20" s="57" t="e">
        <f t="shared" si="1"/>
        <v>#DIV/0!</v>
      </c>
      <c r="N20" s="3"/>
      <c r="O20" s="39"/>
      <c r="P20" s="21" t="s">
        <v>17</v>
      </c>
      <c r="Q20" s="134">
        <f t="shared" si="2"/>
      </c>
      <c r="R20" s="271">
        <f>Отчет!$Q$4</f>
        <v>937015</v>
      </c>
    </row>
    <row r="21" spans="1:16" ht="12.75">
      <c r="A21" s="69"/>
      <c r="B21" s="69"/>
      <c r="C21" s="69"/>
      <c r="D21" s="69"/>
      <c r="E21" s="73"/>
      <c r="F21" s="73"/>
      <c r="G21" s="50"/>
      <c r="H21" s="50"/>
      <c r="I21" s="49"/>
      <c r="J21" s="73"/>
      <c r="K21" s="76"/>
      <c r="L21" s="50"/>
      <c r="M21" s="77"/>
      <c r="N21" s="69"/>
      <c r="O21" s="164"/>
      <c r="P21" s="25"/>
    </row>
    <row r="22" spans="1:16" ht="12.75">
      <c r="A22" s="69"/>
      <c r="B22" s="69"/>
      <c r="C22" s="69"/>
      <c r="D22" s="69"/>
      <c r="E22" s="73"/>
      <c r="F22" s="73"/>
      <c r="G22" s="50"/>
      <c r="H22" s="50"/>
      <c r="I22" s="49"/>
      <c r="J22" s="73"/>
      <c r="K22" s="76"/>
      <c r="L22" s="50"/>
      <c r="M22" s="77"/>
      <c r="N22" s="69"/>
      <c r="O22" s="164"/>
      <c r="P22" s="25"/>
    </row>
    <row r="23" spans="1:16" ht="12.75">
      <c r="A23" s="69"/>
      <c r="B23" s="69"/>
      <c r="C23" s="69"/>
      <c r="D23" s="69"/>
      <c r="E23" s="73"/>
      <c r="F23" s="73"/>
      <c r="G23" s="50"/>
      <c r="H23" s="50"/>
      <c r="I23" s="49"/>
      <c r="J23" s="73"/>
      <c r="K23" s="76"/>
      <c r="L23" s="50"/>
      <c r="M23" s="77"/>
      <c r="N23" s="69"/>
      <c r="O23" s="164"/>
      <c r="P23" s="25"/>
    </row>
    <row r="24" spans="1:16" ht="12.75">
      <c r="A24" s="69"/>
      <c r="B24" s="69"/>
      <c r="C24" s="69"/>
      <c r="D24" s="69"/>
      <c r="E24" s="73"/>
      <c r="F24" s="73"/>
      <c r="G24" s="50"/>
      <c r="H24" s="50"/>
      <c r="I24" s="49"/>
      <c r="J24" s="73"/>
      <c r="K24" s="76"/>
      <c r="L24" s="50"/>
      <c r="M24" s="77"/>
      <c r="N24" s="69"/>
      <c r="O24" s="164"/>
      <c r="P24" s="25"/>
    </row>
    <row r="25" spans="1:16" ht="12.75">
      <c r="A25" s="69"/>
      <c r="B25" s="69"/>
      <c r="C25" s="69"/>
      <c r="D25" s="69"/>
      <c r="E25" s="73"/>
      <c r="F25" s="73"/>
      <c r="G25" s="50"/>
      <c r="H25" s="50"/>
      <c r="I25" s="49"/>
      <c r="J25" s="73"/>
      <c r="K25" s="76"/>
      <c r="L25" s="50"/>
      <c r="M25" s="77"/>
      <c r="N25" s="69"/>
      <c r="O25" s="164"/>
      <c r="P25" s="25"/>
    </row>
    <row r="26" spans="1:16" ht="12.75">
      <c r="A26" s="69"/>
      <c r="B26" s="69"/>
      <c r="C26" s="69"/>
      <c r="D26" s="69"/>
      <c r="E26" s="73"/>
      <c r="F26" s="73"/>
      <c r="G26" s="50"/>
      <c r="H26" s="50"/>
      <c r="I26" s="49"/>
      <c r="J26" s="73"/>
      <c r="K26" s="76"/>
      <c r="L26" s="50"/>
      <c r="M26" s="77"/>
      <c r="N26" s="69"/>
      <c r="O26" s="164"/>
      <c r="P26" s="25"/>
    </row>
    <row r="27" spans="1:16" ht="12.75">
      <c r="A27" s="69"/>
      <c r="B27" s="69"/>
      <c r="C27" s="69"/>
      <c r="D27" s="69"/>
      <c r="E27" s="73"/>
      <c r="F27" s="73"/>
      <c r="G27" s="50"/>
      <c r="H27" s="50"/>
      <c r="I27" s="49"/>
      <c r="J27" s="73"/>
      <c r="K27" s="76"/>
      <c r="L27" s="50"/>
      <c r="M27" s="77"/>
      <c r="N27" s="69"/>
      <c r="O27" s="164"/>
      <c r="P27" s="25"/>
    </row>
    <row r="28" spans="1:16" ht="12.75">
      <c r="A28" s="69"/>
      <c r="B28" s="69"/>
      <c r="C28" s="69"/>
      <c r="D28" s="69"/>
      <c r="E28" s="73"/>
      <c r="F28" s="73"/>
      <c r="G28" s="50"/>
      <c r="H28" s="50"/>
      <c r="I28" s="49"/>
      <c r="J28" s="73"/>
      <c r="K28" s="76"/>
      <c r="L28" s="50"/>
      <c r="M28" s="77"/>
      <c r="N28" s="69"/>
      <c r="O28" s="164"/>
      <c r="P28" s="25"/>
    </row>
    <row r="29" spans="1:16" ht="12.75">
      <c r="A29" s="69"/>
      <c r="B29" s="69"/>
      <c r="C29" s="69"/>
      <c r="D29" s="69"/>
      <c r="E29" s="73"/>
      <c r="F29" s="73"/>
      <c r="G29" s="50"/>
      <c r="H29" s="50"/>
      <c r="I29" s="49"/>
      <c r="J29" s="73"/>
      <c r="K29" s="76"/>
      <c r="L29" s="50"/>
      <c r="M29" s="77"/>
      <c r="N29" s="69"/>
      <c r="O29" s="164"/>
      <c r="P29" s="25"/>
    </row>
    <row r="30" spans="1:16" ht="12.75">
      <c r="A30" s="69"/>
      <c r="B30" s="69"/>
      <c r="C30" s="69"/>
      <c r="D30" s="69"/>
      <c r="E30" s="73"/>
      <c r="F30" s="73"/>
      <c r="G30" s="50"/>
      <c r="H30" s="50"/>
      <c r="I30" s="49"/>
      <c r="J30" s="73"/>
      <c r="K30" s="76"/>
      <c r="L30" s="50"/>
      <c r="M30" s="77"/>
      <c r="N30" s="69"/>
      <c r="O30" s="164"/>
      <c r="P30" s="25"/>
    </row>
    <row r="31" spans="1:16" ht="12.75">
      <c r="A31" s="69"/>
      <c r="B31" s="69"/>
      <c r="C31" s="69"/>
      <c r="D31" s="69"/>
      <c r="E31" s="73"/>
      <c r="F31" s="73"/>
      <c r="G31" s="50"/>
      <c r="H31" s="50"/>
      <c r="I31" s="49"/>
      <c r="J31" s="73"/>
      <c r="K31" s="76"/>
      <c r="L31" s="50"/>
      <c r="M31" s="77"/>
      <c r="N31" s="69"/>
      <c r="O31" s="164"/>
      <c r="P31" s="25"/>
    </row>
    <row r="32" spans="1:16" ht="12.75">
      <c r="A32" s="69"/>
      <c r="B32" s="69"/>
      <c r="C32" s="69"/>
      <c r="D32" s="69"/>
      <c r="E32" s="73"/>
      <c r="F32" s="73"/>
      <c r="G32" s="50"/>
      <c r="H32" s="50"/>
      <c r="I32" s="49"/>
      <c r="J32" s="73"/>
      <c r="K32" s="76"/>
      <c r="L32" s="50"/>
      <c r="M32" s="77"/>
      <c r="N32" s="69"/>
      <c r="O32" s="164"/>
      <c r="P32" s="25"/>
    </row>
    <row r="33" spans="1:16" ht="12.75">
      <c r="A33" s="69"/>
      <c r="B33" s="69"/>
      <c r="C33" s="69"/>
      <c r="D33" s="69"/>
      <c r="E33" s="73"/>
      <c r="F33" s="73"/>
      <c r="G33" s="50"/>
      <c r="H33" s="50"/>
      <c r="I33" s="49"/>
      <c r="J33" s="73"/>
      <c r="K33" s="76"/>
      <c r="L33" s="50"/>
      <c r="M33" s="77"/>
      <c r="N33" s="69"/>
      <c r="O33" s="164"/>
      <c r="P33" s="25"/>
    </row>
    <row r="34" spans="3:16" ht="12.75">
      <c r="C34" s="69"/>
      <c r="D34" s="69"/>
      <c r="E34" s="73"/>
      <c r="F34" s="73"/>
      <c r="G34" s="50"/>
      <c r="H34" s="50"/>
      <c r="I34" s="49"/>
      <c r="J34" s="73"/>
      <c r="K34" s="76"/>
      <c r="L34" s="50"/>
      <c r="M34" s="77"/>
      <c r="N34" s="69"/>
      <c r="O34" s="164"/>
      <c r="P34" s="25"/>
    </row>
    <row r="35" spans="3:16" ht="12.75">
      <c r="C35" s="69"/>
      <c r="D35" s="69"/>
      <c r="E35" s="73"/>
      <c r="F35" s="73"/>
      <c r="G35" s="50"/>
      <c r="H35" s="50"/>
      <c r="I35" s="49"/>
      <c r="J35" s="73"/>
      <c r="K35" s="76"/>
      <c r="L35" s="50"/>
      <c r="M35" s="77"/>
      <c r="N35" s="69"/>
      <c r="O35" s="164"/>
      <c r="P35" s="25"/>
    </row>
    <row r="36" spans="3:16" ht="12.75">
      <c r="C36" s="69"/>
      <c r="D36" s="69"/>
      <c r="E36" s="73"/>
      <c r="F36" s="73"/>
      <c r="G36" s="50"/>
      <c r="H36" s="50"/>
      <c r="I36" s="49"/>
      <c r="J36" s="73"/>
      <c r="K36" s="76"/>
      <c r="L36" s="50"/>
      <c r="M36" s="77"/>
      <c r="N36" s="69"/>
      <c r="O36" s="164"/>
      <c r="P36" s="25"/>
    </row>
    <row r="37" spans="3:16" ht="12.75">
      <c r="C37" s="69"/>
      <c r="D37" s="69"/>
      <c r="E37" s="73"/>
      <c r="F37" s="73"/>
      <c r="G37" s="50"/>
      <c r="H37" s="50"/>
      <c r="I37" s="49"/>
      <c r="J37" s="73"/>
      <c r="K37" s="76"/>
      <c r="L37" s="50"/>
      <c r="M37" s="77"/>
      <c r="N37" s="69"/>
      <c r="O37" s="164"/>
      <c r="P37" s="25"/>
    </row>
    <row r="38" spans="3:16" ht="12.75">
      <c r="C38" s="69"/>
      <c r="D38" s="69"/>
      <c r="E38" s="73"/>
      <c r="F38" s="73"/>
      <c r="G38" s="50"/>
      <c r="H38" s="50"/>
      <c r="I38" s="49"/>
      <c r="J38" s="73"/>
      <c r="K38" s="76"/>
      <c r="L38" s="50"/>
      <c r="M38" s="77"/>
      <c r="N38" s="69"/>
      <c r="O38" s="164"/>
      <c r="P38" s="25"/>
    </row>
    <row r="39" spans="3:16" ht="12.75">
      <c r="C39" s="69"/>
      <c r="D39" s="69"/>
      <c r="E39" s="73"/>
      <c r="F39" s="73"/>
      <c r="G39" s="50"/>
      <c r="H39" s="50"/>
      <c r="I39" s="49"/>
      <c r="J39" s="73"/>
      <c r="K39" s="76"/>
      <c r="L39" s="50"/>
      <c r="M39" s="77"/>
      <c r="N39" s="69"/>
      <c r="O39" s="164"/>
      <c r="P39" s="25"/>
    </row>
    <row r="40" spans="3:16" ht="12.75">
      <c r="C40" s="69"/>
      <c r="D40" s="69"/>
      <c r="E40" s="73"/>
      <c r="F40" s="73"/>
      <c r="G40" s="50"/>
      <c r="H40" s="50"/>
      <c r="I40" s="49"/>
      <c r="J40" s="73"/>
      <c r="K40" s="76"/>
      <c r="L40" s="50"/>
      <c r="M40" s="77"/>
      <c r="N40" s="69"/>
      <c r="O40" s="164"/>
      <c r="P40" s="25"/>
    </row>
    <row r="41" spans="3:16" ht="12.75">
      <c r="C41" s="69"/>
      <c r="D41" s="69"/>
      <c r="E41" s="73"/>
      <c r="F41" s="73"/>
      <c r="G41" s="50"/>
      <c r="H41" s="50"/>
      <c r="I41" s="49"/>
      <c r="J41" s="73"/>
      <c r="K41" s="76"/>
      <c r="L41" s="50"/>
      <c r="M41" s="77"/>
      <c r="N41" s="69"/>
      <c r="O41" s="164"/>
      <c r="P41" s="25"/>
    </row>
    <row r="42" spans="3:16" ht="12.75">
      <c r="C42" s="69"/>
      <c r="D42" s="69"/>
      <c r="E42" s="73"/>
      <c r="F42" s="73"/>
      <c r="G42" s="50"/>
      <c r="H42" s="50"/>
      <c r="I42" s="49"/>
      <c r="J42" s="73"/>
      <c r="K42" s="76"/>
      <c r="L42" s="50"/>
      <c r="M42" s="77"/>
      <c r="N42" s="69"/>
      <c r="O42" s="164"/>
      <c r="P42" s="25"/>
    </row>
    <row r="43" spans="3:16" ht="12.75">
      <c r="C43" s="69"/>
      <c r="D43" s="69"/>
      <c r="E43" s="73"/>
      <c r="F43" s="73"/>
      <c r="G43" s="50"/>
      <c r="H43" s="50"/>
      <c r="I43" s="49"/>
      <c r="J43" s="73"/>
      <c r="K43" s="76"/>
      <c r="L43" s="50"/>
      <c r="M43" s="77"/>
      <c r="N43" s="69"/>
      <c r="O43" s="164"/>
      <c r="P43" s="25"/>
    </row>
    <row r="44" spans="3:16" ht="12.75">
      <c r="C44" s="69"/>
      <c r="D44" s="69"/>
      <c r="E44" s="73"/>
      <c r="F44" s="73"/>
      <c r="G44" s="50"/>
      <c r="H44" s="50"/>
      <c r="I44" s="49"/>
      <c r="J44" s="73"/>
      <c r="K44" s="76"/>
      <c r="L44" s="50"/>
      <c r="M44" s="77"/>
      <c r="N44" s="69"/>
      <c r="O44" s="164"/>
      <c r="P44" s="25"/>
    </row>
    <row r="45" spans="3:16" ht="12.75">
      <c r="C45" s="69"/>
      <c r="D45" s="69"/>
      <c r="E45" s="73"/>
      <c r="F45" s="73"/>
      <c r="G45" s="50"/>
      <c r="H45" s="50"/>
      <c r="I45" s="49"/>
      <c r="J45" s="73"/>
      <c r="K45" s="76"/>
      <c r="L45" s="50"/>
      <c r="M45" s="77"/>
      <c r="N45" s="69"/>
      <c r="O45" s="164"/>
      <c r="P45" s="25"/>
    </row>
    <row r="46" spans="3:16" ht="12.75">
      <c r="C46" s="69"/>
      <c r="D46" s="69"/>
      <c r="E46" s="73"/>
      <c r="F46" s="73"/>
      <c r="G46" s="50"/>
      <c r="H46" s="50"/>
      <c r="I46" s="49"/>
      <c r="J46" s="73"/>
      <c r="K46" s="76"/>
      <c r="L46" s="50"/>
      <c r="M46" s="77"/>
      <c r="N46" s="69"/>
      <c r="O46" s="164"/>
      <c r="P46" s="25"/>
    </row>
    <row r="47" spans="3:16" ht="12.75">
      <c r="C47" s="69"/>
      <c r="D47" s="69"/>
      <c r="E47" s="73"/>
      <c r="F47" s="73"/>
      <c r="G47" s="50"/>
      <c r="H47" s="50"/>
      <c r="I47" s="49"/>
      <c r="J47" s="73"/>
      <c r="K47" s="76"/>
      <c r="L47" s="50"/>
      <c r="M47" s="77"/>
      <c r="N47" s="69"/>
      <c r="O47" s="164"/>
      <c r="P47" s="25"/>
    </row>
    <row r="48" spans="3:16" ht="12.75">
      <c r="C48" s="69"/>
      <c r="D48" s="69"/>
      <c r="E48" s="73"/>
      <c r="F48" s="73"/>
      <c r="G48" s="50"/>
      <c r="H48" s="50"/>
      <c r="I48" s="49"/>
      <c r="J48" s="73"/>
      <c r="K48" s="76"/>
      <c r="L48" s="50"/>
      <c r="M48" s="77"/>
      <c r="N48" s="69"/>
      <c r="O48" s="164"/>
      <c r="P48" s="25"/>
    </row>
    <row r="49" spans="3:16" ht="12.75">
      <c r="C49" s="69"/>
      <c r="D49" s="69"/>
      <c r="E49" s="73"/>
      <c r="F49" s="73"/>
      <c r="G49" s="50"/>
      <c r="H49" s="50"/>
      <c r="I49" s="49"/>
      <c r="J49" s="73"/>
      <c r="K49" s="76"/>
      <c r="L49" s="50"/>
      <c r="M49" s="77"/>
      <c r="N49" s="69"/>
      <c r="O49" s="164"/>
      <c r="P49" s="25"/>
    </row>
    <row r="50" spans="3:16" ht="12.75">
      <c r="C50" s="69"/>
      <c r="D50" s="69"/>
      <c r="E50" s="73"/>
      <c r="F50" s="73"/>
      <c r="G50" s="50"/>
      <c r="H50" s="50"/>
      <c r="I50" s="49"/>
      <c r="J50" s="73"/>
      <c r="K50" s="76"/>
      <c r="L50" s="50"/>
      <c r="M50" s="77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5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56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366</v>
      </c>
      <c r="S1" s="278">
        <f>IF(COUNTIF(Q1:Q1000,"Введите дату рождения")&lt;&gt;0,"1","")</f>
      </c>
    </row>
    <row r="2" spans="1:18" ht="12.75">
      <c r="A2" s="42">
        <v>1</v>
      </c>
      <c r="B2" s="39" t="s">
        <v>519</v>
      </c>
      <c r="C2" s="39" t="s">
        <v>520</v>
      </c>
      <c r="D2" s="39" t="s">
        <v>471</v>
      </c>
      <c r="E2" s="42" t="s">
        <v>402</v>
      </c>
      <c r="F2" s="39" t="str">
        <f>Отчет!$C$4</f>
        <v>МБОУ СОШ № 153</v>
      </c>
      <c r="G2" s="176">
        <v>10</v>
      </c>
      <c r="H2" s="270">
        <f aca="true" t="shared" si="0" ref="H2:H20">G2</f>
        <v>10</v>
      </c>
      <c r="I2" s="39"/>
      <c r="J2" s="39"/>
      <c r="K2" s="165">
        <v>37</v>
      </c>
      <c r="L2" s="39">
        <v>120</v>
      </c>
      <c r="M2" s="59">
        <f aca="true" t="shared" si="1" ref="M2:M7">K2/L2</f>
        <v>0.30833333333333335</v>
      </c>
      <c r="N2" s="39" t="s">
        <v>58</v>
      </c>
      <c r="O2" s="39" t="s">
        <v>76</v>
      </c>
      <c r="P2" s="39" t="s">
        <v>23</v>
      </c>
      <c r="Q2" s="134">
        <f>IF(G2=H2,"","Введите дату рождения")</f>
      </c>
      <c r="R2" s="271">
        <f>Отчет!$Q$4</f>
        <v>937015</v>
      </c>
    </row>
    <row r="3" spans="1:18" ht="13.5" customHeight="1">
      <c r="A3" s="42">
        <v>2</v>
      </c>
      <c r="B3" s="39" t="s">
        <v>514</v>
      </c>
      <c r="C3" s="39" t="s">
        <v>452</v>
      </c>
      <c r="D3" s="39" t="s">
        <v>471</v>
      </c>
      <c r="E3" s="42" t="s">
        <v>402</v>
      </c>
      <c r="F3" s="39" t="str">
        <f>Отчет!$C$4</f>
        <v>МБОУ СОШ № 153</v>
      </c>
      <c r="G3" s="176">
        <v>10</v>
      </c>
      <c r="H3" s="270">
        <f t="shared" si="0"/>
        <v>10</v>
      </c>
      <c r="I3" s="39"/>
      <c r="J3" s="39"/>
      <c r="K3" s="165">
        <v>36</v>
      </c>
      <c r="L3" s="39">
        <v>120</v>
      </c>
      <c r="M3" s="59">
        <f t="shared" si="1"/>
        <v>0.3</v>
      </c>
      <c r="N3" s="39" t="s">
        <v>58</v>
      </c>
      <c r="O3" s="39" t="s">
        <v>76</v>
      </c>
      <c r="P3" s="39" t="s">
        <v>23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3.5" customHeight="1">
      <c r="A4" s="199">
        <v>3</v>
      </c>
      <c r="B4" s="21" t="s">
        <v>632</v>
      </c>
      <c r="C4" s="39" t="s">
        <v>495</v>
      </c>
      <c r="D4" s="39" t="s">
        <v>633</v>
      </c>
      <c r="E4" s="42" t="s">
        <v>402</v>
      </c>
      <c r="F4" s="39" t="str">
        <f>Отчет!$C$4</f>
        <v>МБОУ СОШ № 153</v>
      </c>
      <c r="G4" s="176">
        <v>10</v>
      </c>
      <c r="H4" s="270">
        <f t="shared" si="0"/>
        <v>10</v>
      </c>
      <c r="I4" s="39"/>
      <c r="J4" s="39"/>
      <c r="K4" s="165">
        <v>19</v>
      </c>
      <c r="L4" s="39">
        <v>120</v>
      </c>
      <c r="M4" s="59">
        <f t="shared" si="1"/>
        <v>0.15833333333333333</v>
      </c>
      <c r="N4" s="39" t="s">
        <v>58</v>
      </c>
      <c r="O4" s="39" t="s">
        <v>76</v>
      </c>
      <c r="P4" s="39" t="s">
        <v>23</v>
      </c>
      <c r="Q4" s="134">
        <f t="shared" si="2"/>
      </c>
      <c r="R4" s="271">
        <f>Отчет!$Q$4</f>
        <v>937015</v>
      </c>
    </row>
    <row r="5" spans="1:18" ht="12.75">
      <c r="A5" s="199">
        <v>4</v>
      </c>
      <c r="B5" s="21" t="s">
        <v>593</v>
      </c>
      <c r="C5" s="39" t="s">
        <v>516</v>
      </c>
      <c r="D5" s="39" t="s">
        <v>471</v>
      </c>
      <c r="E5" s="42" t="s">
        <v>402</v>
      </c>
      <c r="F5" s="39" t="str">
        <f>Отчет!$C$4</f>
        <v>МБОУ СОШ № 153</v>
      </c>
      <c r="G5" s="176">
        <v>10</v>
      </c>
      <c r="H5" s="270">
        <f t="shared" si="0"/>
        <v>10</v>
      </c>
      <c r="I5" s="39"/>
      <c r="J5" s="39"/>
      <c r="K5" s="165">
        <v>15</v>
      </c>
      <c r="L5" s="39">
        <v>120</v>
      </c>
      <c r="M5" s="59">
        <f t="shared" si="1"/>
        <v>0.125</v>
      </c>
      <c r="N5" s="39" t="s">
        <v>58</v>
      </c>
      <c r="O5" s="39" t="s">
        <v>76</v>
      </c>
      <c r="P5" s="39" t="s">
        <v>23</v>
      </c>
      <c r="Q5" s="134">
        <f t="shared" si="2"/>
      </c>
      <c r="R5" s="271">
        <f>Отчет!$Q$4</f>
        <v>937015</v>
      </c>
    </row>
    <row r="6" spans="1:18" ht="12.75">
      <c r="A6" s="199">
        <v>5</v>
      </c>
      <c r="B6" s="21" t="s">
        <v>515</v>
      </c>
      <c r="C6" s="39" t="s">
        <v>517</v>
      </c>
      <c r="D6" s="39" t="s">
        <v>417</v>
      </c>
      <c r="E6" s="42" t="s">
        <v>402</v>
      </c>
      <c r="F6" s="39" t="str">
        <f>Отчет!$C$4</f>
        <v>МБОУ СОШ № 153</v>
      </c>
      <c r="G6" s="176">
        <v>10</v>
      </c>
      <c r="H6" s="270">
        <f t="shared" si="0"/>
        <v>10</v>
      </c>
      <c r="I6" s="39"/>
      <c r="J6" s="39"/>
      <c r="K6" s="165">
        <v>14</v>
      </c>
      <c r="L6" s="39">
        <v>120</v>
      </c>
      <c r="M6" s="59">
        <f t="shared" si="1"/>
        <v>0.11666666666666667</v>
      </c>
      <c r="N6" s="39" t="s">
        <v>58</v>
      </c>
      <c r="O6" s="39" t="s">
        <v>76</v>
      </c>
      <c r="P6" s="39" t="s">
        <v>23</v>
      </c>
      <c r="Q6" s="134">
        <f t="shared" si="2"/>
      </c>
      <c r="R6" s="271">
        <f>Отчет!$Q$4</f>
        <v>937015</v>
      </c>
    </row>
    <row r="7" spans="1:18" ht="12.75">
      <c r="A7" s="199">
        <v>6</v>
      </c>
      <c r="B7" s="21" t="s">
        <v>692</v>
      </c>
      <c r="C7" s="39" t="s">
        <v>693</v>
      </c>
      <c r="D7" s="39" t="s">
        <v>694</v>
      </c>
      <c r="E7" s="42" t="s">
        <v>392</v>
      </c>
      <c r="F7" s="39" t="str">
        <f>Отчет!$C$4</f>
        <v>МБОУ СОШ № 153</v>
      </c>
      <c r="G7" s="176">
        <v>11</v>
      </c>
      <c r="H7" s="270">
        <f t="shared" si="0"/>
        <v>11</v>
      </c>
      <c r="I7" s="39"/>
      <c r="J7" s="39"/>
      <c r="K7" s="165">
        <v>19</v>
      </c>
      <c r="L7" s="39">
        <v>155</v>
      </c>
      <c r="M7" s="59">
        <f t="shared" si="1"/>
        <v>0.12258064516129032</v>
      </c>
      <c r="N7" s="39" t="s">
        <v>58</v>
      </c>
      <c r="O7" s="39" t="s">
        <v>76</v>
      </c>
      <c r="P7" s="39" t="s">
        <v>23</v>
      </c>
      <c r="Q7" s="134">
        <f t="shared" si="2"/>
      </c>
      <c r="R7" s="271">
        <f>Отчет!$Q$4</f>
        <v>937015</v>
      </c>
    </row>
    <row r="8" spans="1:18" ht="12.75">
      <c r="A8" s="166"/>
      <c r="B8" s="21"/>
      <c r="C8" s="39"/>
      <c r="D8" s="39"/>
      <c r="E8" s="42"/>
      <c r="F8" s="39"/>
      <c r="G8" s="176"/>
      <c r="H8" s="270">
        <f t="shared" si="0"/>
        <v>0</v>
      </c>
      <c r="I8" s="39"/>
      <c r="J8" s="39"/>
      <c r="K8" s="165"/>
      <c r="L8" s="39"/>
      <c r="M8" s="59"/>
      <c r="N8" s="39"/>
      <c r="O8" s="39"/>
      <c r="P8" s="39"/>
      <c r="Q8" s="134">
        <f t="shared" si="2"/>
      </c>
      <c r="R8" s="271"/>
    </row>
    <row r="9" spans="1:18" ht="12.75">
      <c r="A9" s="166"/>
      <c r="B9" s="21"/>
      <c r="C9" s="39"/>
      <c r="D9" s="39"/>
      <c r="E9" s="42"/>
      <c r="F9" s="39"/>
      <c r="G9" s="176"/>
      <c r="H9" s="270">
        <f t="shared" si="0"/>
        <v>0</v>
      </c>
      <c r="I9" s="39"/>
      <c r="J9" s="39"/>
      <c r="K9" s="165"/>
      <c r="L9" s="39"/>
      <c r="M9" s="59"/>
      <c r="N9" s="39"/>
      <c r="O9" s="39"/>
      <c r="P9" s="39"/>
      <c r="Q9" s="134">
        <f t="shared" si="2"/>
      </c>
      <c r="R9" s="271"/>
    </row>
    <row r="10" spans="1:18" ht="12.75">
      <c r="A10" s="166"/>
      <c r="B10" s="21"/>
      <c r="C10" s="39"/>
      <c r="D10" s="39"/>
      <c r="E10" s="42"/>
      <c r="F10" s="39"/>
      <c r="G10" s="176"/>
      <c r="H10" s="270">
        <f t="shared" si="0"/>
        <v>0</v>
      </c>
      <c r="I10" s="39"/>
      <c r="J10" s="39"/>
      <c r="K10" s="165"/>
      <c r="L10" s="39"/>
      <c r="M10" s="59"/>
      <c r="N10" s="39"/>
      <c r="O10" s="39"/>
      <c r="P10" s="39"/>
      <c r="Q10" s="134">
        <f t="shared" si="2"/>
      </c>
      <c r="R10" s="271"/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0"/>
        <v>0</v>
      </c>
      <c r="I11" s="39"/>
      <c r="J11" s="39"/>
      <c r="K11" s="165"/>
      <c r="L11" s="39"/>
      <c r="M11" s="59"/>
      <c r="N11" s="39"/>
      <c r="O11" s="39"/>
      <c r="P11" s="39"/>
      <c r="Q11" s="134">
        <f t="shared" si="2"/>
      </c>
      <c r="R11" s="271"/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0"/>
        <v>0</v>
      </c>
      <c r="I12" s="39"/>
      <c r="J12" s="39"/>
      <c r="K12" s="165"/>
      <c r="L12" s="39"/>
      <c r="M12" s="59"/>
      <c r="N12" s="39"/>
      <c r="O12" s="39"/>
      <c r="P12" s="39"/>
      <c r="Q12" s="134">
        <f t="shared" si="2"/>
      </c>
      <c r="R12" s="271"/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0"/>
        <v>0</v>
      </c>
      <c r="I13" s="39"/>
      <c r="J13" s="39"/>
      <c r="K13" s="165"/>
      <c r="L13" s="39"/>
      <c r="M13" s="59"/>
      <c r="N13" s="39"/>
      <c r="O13" s="39"/>
      <c r="P13" s="39"/>
      <c r="Q13" s="134">
        <f t="shared" si="2"/>
      </c>
      <c r="R13" s="271"/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0"/>
        <v>0</v>
      </c>
      <c r="I14" s="39"/>
      <c r="J14" s="39"/>
      <c r="K14" s="165"/>
      <c r="L14" s="39"/>
      <c r="M14" s="59"/>
      <c r="N14" s="39"/>
      <c r="O14" s="39"/>
      <c r="P14" s="39"/>
      <c r="Q14" s="134">
        <f t="shared" si="2"/>
      </c>
      <c r="R14" s="271"/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0"/>
        <v>0</v>
      </c>
      <c r="I15" s="39"/>
      <c r="J15" s="39"/>
      <c r="K15" s="165"/>
      <c r="L15" s="39"/>
      <c r="M15" s="59"/>
      <c r="N15" s="39"/>
      <c r="O15" s="39"/>
      <c r="P15" s="39"/>
      <c r="Q15" s="134">
        <f t="shared" si="2"/>
      </c>
      <c r="R15" s="271"/>
    </row>
    <row r="16" spans="1:18" ht="12.75">
      <c r="A16" s="39"/>
      <c r="B16" s="39"/>
      <c r="C16" s="39"/>
      <c r="D16" s="39"/>
      <c r="E16" s="42"/>
      <c r="F16" s="39"/>
      <c r="G16" s="176"/>
      <c r="H16" s="270">
        <f t="shared" si="0"/>
        <v>0</v>
      </c>
      <c r="I16" s="41"/>
      <c r="J16" s="39"/>
      <c r="K16" s="58"/>
      <c r="L16" s="53"/>
      <c r="M16" s="59"/>
      <c r="N16" s="42"/>
      <c r="O16" s="39"/>
      <c r="P16" s="39"/>
      <c r="Q16" s="134">
        <f t="shared" si="2"/>
      </c>
      <c r="R16" s="271"/>
    </row>
    <row r="17" spans="1:18" ht="12.75">
      <c r="A17" s="39"/>
      <c r="B17" s="39"/>
      <c r="C17" s="39"/>
      <c r="D17" s="39"/>
      <c r="E17" s="42"/>
      <c r="F17" s="39"/>
      <c r="G17" s="176"/>
      <c r="H17" s="270">
        <f t="shared" si="0"/>
        <v>0</v>
      </c>
      <c r="I17" s="41"/>
      <c r="J17" s="39"/>
      <c r="K17" s="58"/>
      <c r="L17" s="53"/>
      <c r="M17" s="59"/>
      <c r="N17" s="42"/>
      <c r="O17" s="39"/>
      <c r="P17" s="39"/>
      <c r="Q17" s="134">
        <f t="shared" si="2"/>
      </c>
      <c r="R17" s="271"/>
    </row>
    <row r="18" spans="1:18" ht="12.75">
      <c r="A18" s="39"/>
      <c r="B18" s="39"/>
      <c r="C18" s="39"/>
      <c r="D18" s="39"/>
      <c r="E18" s="42"/>
      <c r="F18" s="39"/>
      <c r="G18" s="176"/>
      <c r="H18" s="270">
        <f t="shared" si="0"/>
        <v>0</v>
      </c>
      <c r="I18" s="41"/>
      <c r="J18" s="39"/>
      <c r="K18" s="58"/>
      <c r="L18" s="53"/>
      <c r="M18" s="59"/>
      <c r="N18" s="42"/>
      <c r="O18" s="39"/>
      <c r="P18" s="39"/>
      <c r="Q18" s="134">
        <f t="shared" si="2"/>
      </c>
      <c r="R18" s="271"/>
    </row>
    <row r="19" spans="1:18" ht="12.75">
      <c r="A19" s="100"/>
      <c r="B19" s="100"/>
      <c r="C19" s="100"/>
      <c r="D19" s="100"/>
      <c r="E19" s="104"/>
      <c r="F19" s="39"/>
      <c r="G19" s="176"/>
      <c r="H19" s="270">
        <f t="shared" si="0"/>
        <v>0</v>
      </c>
      <c r="I19" s="102"/>
      <c r="J19" s="100"/>
      <c r="K19" s="103"/>
      <c r="L19" s="101"/>
      <c r="M19" s="59"/>
      <c r="N19" s="104"/>
      <c r="O19" s="39"/>
      <c r="P19" s="100"/>
      <c r="Q19" s="134">
        <f t="shared" si="2"/>
      </c>
      <c r="R19" s="271"/>
    </row>
    <row r="20" spans="1:18" ht="12.75">
      <c r="A20" s="39"/>
      <c r="B20" s="39"/>
      <c r="C20" s="39"/>
      <c r="D20" s="39"/>
      <c r="E20" s="42"/>
      <c r="F20" s="39"/>
      <c r="G20" s="176"/>
      <c r="H20" s="270">
        <f t="shared" si="0"/>
        <v>0</v>
      </c>
      <c r="I20" s="197"/>
      <c r="J20" s="39"/>
      <c r="K20" s="201"/>
      <c r="L20" s="53"/>
      <c r="M20" s="59"/>
      <c r="N20" s="39"/>
      <c r="O20" s="39"/>
      <c r="P20" s="39"/>
      <c r="Q20" s="134">
        <f t="shared" si="2"/>
      </c>
      <c r="R20" s="271"/>
    </row>
    <row r="21" spans="1:16" ht="12.75">
      <c r="A21" s="73"/>
      <c r="B21" s="73"/>
      <c r="C21" s="73"/>
      <c r="D21" s="73"/>
      <c r="E21" s="73"/>
      <c r="F21" s="73"/>
      <c r="G21" s="120"/>
      <c r="H21" s="120"/>
      <c r="I21" s="79"/>
      <c r="J21" s="73"/>
      <c r="K21" s="121"/>
      <c r="L21" s="120"/>
      <c r="M21" s="122"/>
      <c r="N21" s="73"/>
      <c r="O21" s="164"/>
      <c r="P21" s="73"/>
    </row>
    <row r="22" spans="1:16" ht="12.75">
      <c r="A22" s="73"/>
      <c r="B22" s="73"/>
      <c r="C22" s="73"/>
      <c r="D22" s="73"/>
      <c r="E22" s="73"/>
      <c r="F22" s="73"/>
      <c r="G22" s="120"/>
      <c r="H22" s="120"/>
      <c r="I22" s="79"/>
      <c r="J22" s="73"/>
      <c r="K22" s="121"/>
      <c r="L22" s="120"/>
      <c r="M22" s="122"/>
      <c r="N22" s="73"/>
      <c r="O22" s="164"/>
      <c r="P22" s="73"/>
    </row>
    <row r="23" spans="1:16" ht="12.75">
      <c r="A23" s="73"/>
      <c r="B23" s="73"/>
      <c r="C23" s="73"/>
      <c r="D23" s="73"/>
      <c r="E23" s="73"/>
      <c r="F23" s="73"/>
      <c r="G23" s="120"/>
      <c r="H23" s="120"/>
      <c r="I23" s="79"/>
      <c r="J23" s="73"/>
      <c r="K23" s="121"/>
      <c r="L23" s="120"/>
      <c r="M23" s="122"/>
      <c r="N23" s="73"/>
      <c r="O23" s="164"/>
      <c r="P23" s="73"/>
    </row>
    <row r="24" spans="1:16" ht="12.75">
      <c r="A24" s="73"/>
      <c r="B24" s="73"/>
      <c r="C24" s="73"/>
      <c r="D24" s="73"/>
      <c r="E24" s="73"/>
      <c r="F24" s="73"/>
      <c r="G24" s="120"/>
      <c r="H24" s="120"/>
      <c r="I24" s="79"/>
      <c r="J24" s="73"/>
      <c r="K24" s="121"/>
      <c r="L24" s="120"/>
      <c r="M24" s="122"/>
      <c r="N24" s="73"/>
      <c r="O24" s="164"/>
      <c r="P24" s="73"/>
    </row>
    <row r="25" spans="1:16" ht="12.75">
      <c r="A25" s="73"/>
      <c r="B25" s="73"/>
      <c r="C25" s="73"/>
      <c r="D25" s="73"/>
      <c r="E25" s="73"/>
      <c r="F25" s="73"/>
      <c r="G25" s="120"/>
      <c r="H25" s="120"/>
      <c r="I25" s="79"/>
      <c r="J25" s="73"/>
      <c r="K25" s="121"/>
      <c r="L25" s="120"/>
      <c r="M25" s="122"/>
      <c r="N25" s="73"/>
      <c r="O25" s="164"/>
      <c r="P25" s="73"/>
    </row>
    <row r="26" spans="1:16" ht="12.75">
      <c r="A26" s="73"/>
      <c r="B26" s="73"/>
      <c r="C26" s="73"/>
      <c r="D26" s="73"/>
      <c r="E26" s="73"/>
      <c r="F26" s="73"/>
      <c r="G26" s="120"/>
      <c r="H26" s="120"/>
      <c r="I26" s="79"/>
      <c r="J26" s="73"/>
      <c r="K26" s="121"/>
      <c r="L26" s="120"/>
      <c r="M26" s="122"/>
      <c r="N26" s="73"/>
      <c r="O26" s="164"/>
      <c r="P26" s="73"/>
    </row>
    <row r="27" spans="1:16" ht="12.75">
      <c r="A27" s="73"/>
      <c r="B27" s="73"/>
      <c r="C27" s="73"/>
      <c r="D27" s="73"/>
      <c r="E27" s="73"/>
      <c r="F27" s="73"/>
      <c r="G27" s="120"/>
      <c r="H27" s="120"/>
      <c r="I27" s="79"/>
      <c r="J27" s="73"/>
      <c r="K27" s="121"/>
      <c r="L27" s="120"/>
      <c r="M27" s="122"/>
      <c r="N27" s="73"/>
      <c r="O27" s="164"/>
      <c r="P27" s="73"/>
    </row>
    <row r="28" spans="1:16" ht="12.75">
      <c r="A28" s="73"/>
      <c r="B28" s="73"/>
      <c r="C28" s="73"/>
      <c r="D28" s="73"/>
      <c r="E28" s="73"/>
      <c r="F28" s="73"/>
      <c r="G28" s="120"/>
      <c r="H28" s="120"/>
      <c r="I28" s="79"/>
      <c r="J28" s="73"/>
      <c r="K28" s="121"/>
      <c r="L28" s="120"/>
      <c r="M28" s="122"/>
      <c r="N28" s="73"/>
      <c r="O28" s="164"/>
      <c r="P28" s="73"/>
    </row>
    <row r="29" spans="1:16" ht="12.75">
      <c r="A29" s="73"/>
      <c r="B29" s="73"/>
      <c r="C29" s="73"/>
      <c r="D29" s="73"/>
      <c r="E29" s="73"/>
      <c r="F29" s="73"/>
      <c r="G29" s="120"/>
      <c r="H29" s="120"/>
      <c r="I29" s="79"/>
      <c r="J29" s="73"/>
      <c r="K29" s="121"/>
      <c r="L29" s="120"/>
      <c r="M29" s="122"/>
      <c r="N29" s="73"/>
      <c r="O29" s="164"/>
      <c r="P29" s="73"/>
    </row>
    <row r="30" spans="1:16" ht="12.75">
      <c r="A30" s="73"/>
      <c r="B30" s="73"/>
      <c r="C30" s="73"/>
      <c r="D30" s="73"/>
      <c r="E30" s="73"/>
      <c r="F30" s="73"/>
      <c r="G30" s="120"/>
      <c r="H30" s="120"/>
      <c r="I30" s="79"/>
      <c r="J30" s="73"/>
      <c r="K30" s="121"/>
      <c r="L30" s="120"/>
      <c r="M30" s="122"/>
      <c r="N30" s="73"/>
      <c r="O30" s="164"/>
      <c r="P30" s="73"/>
    </row>
    <row r="31" spans="1:16" ht="12.75">
      <c r="A31" s="73"/>
      <c r="B31" s="73"/>
      <c r="C31" s="73"/>
      <c r="D31" s="73"/>
      <c r="E31" s="73"/>
      <c r="F31" s="73"/>
      <c r="G31" s="120"/>
      <c r="H31" s="120"/>
      <c r="I31" s="79"/>
      <c r="J31" s="73"/>
      <c r="K31" s="121"/>
      <c r="L31" s="120"/>
      <c r="M31" s="122"/>
      <c r="N31" s="73"/>
      <c r="O31" s="164"/>
      <c r="P31" s="73"/>
    </row>
    <row r="32" spans="1:16" ht="12.75">
      <c r="A32" s="73"/>
      <c r="B32" s="73"/>
      <c r="C32" s="73"/>
      <c r="D32" s="73"/>
      <c r="E32" s="73"/>
      <c r="F32" s="73"/>
      <c r="G32" s="120"/>
      <c r="H32" s="120"/>
      <c r="I32" s="79"/>
      <c r="J32" s="73"/>
      <c r="K32" s="121"/>
      <c r="L32" s="120"/>
      <c r="M32" s="122"/>
      <c r="N32" s="73"/>
      <c r="O32" s="164"/>
      <c r="P32" s="73"/>
    </row>
    <row r="33" spans="1:16" ht="12.75">
      <c r="A33" s="73"/>
      <c r="B33" s="73"/>
      <c r="C33" s="73"/>
      <c r="D33" s="73"/>
      <c r="E33" s="73"/>
      <c r="F33" s="73"/>
      <c r="G33" s="120"/>
      <c r="H33" s="120"/>
      <c r="I33" s="79"/>
      <c r="J33" s="73"/>
      <c r="K33" s="121"/>
      <c r="L33" s="120"/>
      <c r="M33" s="122"/>
      <c r="N33" s="73"/>
      <c r="O33" s="164"/>
      <c r="P33" s="73"/>
    </row>
    <row r="34" spans="3:16" ht="12.75">
      <c r="C34" s="73"/>
      <c r="D34" s="73"/>
      <c r="E34" s="73"/>
      <c r="F34" s="73"/>
      <c r="G34" s="120"/>
      <c r="H34" s="120"/>
      <c r="I34" s="79"/>
      <c r="J34" s="73"/>
      <c r="K34" s="121"/>
      <c r="L34" s="120"/>
      <c r="M34" s="122"/>
      <c r="N34" s="73"/>
      <c r="O34" s="164"/>
      <c r="P34" s="73"/>
    </row>
    <row r="35" spans="3:16" ht="12.75">
      <c r="C35" s="73"/>
      <c r="D35" s="73"/>
      <c r="E35" s="73"/>
      <c r="F35" s="73"/>
      <c r="G35" s="120"/>
      <c r="H35" s="120"/>
      <c r="I35" s="79"/>
      <c r="J35" s="73"/>
      <c r="K35" s="121"/>
      <c r="L35" s="120"/>
      <c r="M35" s="122"/>
      <c r="N35" s="73"/>
      <c r="O35" s="164"/>
      <c r="P35" s="73"/>
    </row>
    <row r="36" spans="3:16" ht="12.75">
      <c r="C36" s="73"/>
      <c r="D36" s="73"/>
      <c r="E36" s="73"/>
      <c r="F36" s="73"/>
      <c r="G36" s="120"/>
      <c r="H36" s="120"/>
      <c r="I36" s="79"/>
      <c r="J36" s="73"/>
      <c r="K36" s="121"/>
      <c r="L36" s="120"/>
      <c r="M36" s="122"/>
      <c r="N36" s="73"/>
      <c r="O36" s="164"/>
      <c r="P36" s="73"/>
    </row>
    <row r="37" spans="3:16" ht="12.75">
      <c r="C37" s="73"/>
      <c r="D37" s="73"/>
      <c r="E37" s="73"/>
      <c r="F37" s="73"/>
      <c r="G37" s="120"/>
      <c r="H37" s="120"/>
      <c r="I37" s="79"/>
      <c r="J37" s="73"/>
      <c r="K37" s="121"/>
      <c r="L37" s="120"/>
      <c r="M37" s="122"/>
      <c r="N37" s="73"/>
      <c r="O37" s="164"/>
      <c r="P37" s="73"/>
    </row>
    <row r="38" spans="3:16" ht="12.75">
      <c r="C38" s="73"/>
      <c r="D38" s="73"/>
      <c r="E38" s="73"/>
      <c r="F38" s="73"/>
      <c r="G38" s="120"/>
      <c r="H38" s="120"/>
      <c r="I38" s="79"/>
      <c r="J38" s="73"/>
      <c r="K38" s="121"/>
      <c r="L38" s="120"/>
      <c r="M38" s="122"/>
      <c r="N38" s="73"/>
      <c r="O38" s="164"/>
      <c r="P38" s="73"/>
    </row>
    <row r="39" spans="3:16" ht="12.75">
      <c r="C39" s="73"/>
      <c r="D39" s="73"/>
      <c r="E39" s="73"/>
      <c r="F39" s="73"/>
      <c r="G39" s="120"/>
      <c r="H39" s="120"/>
      <c r="I39" s="79"/>
      <c r="J39" s="73"/>
      <c r="K39" s="121"/>
      <c r="L39" s="120"/>
      <c r="M39" s="122"/>
      <c r="N39" s="73"/>
      <c r="O39" s="164"/>
      <c r="P39" s="73"/>
    </row>
    <row r="40" spans="3:16" ht="12.75">
      <c r="C40" s="73"/>
      <c r="D40" s="73"/>
      <c r="E40" s="73"/>
      <c r="F40" s="73"/>
      <c r="G40" s="120"/>
      <c r="H40" s="120"/>
      <c r="I40" s="79"/>
      <c r="J40" s="73"/>
      <c r="K40" s="121"/>
      <c r="L40" s="120"/>
      <c r="M40" s="122"/>
      <c r="N40" s="73"/>
      <c r="O40" s="164"/>
      <c r="P40" s="73"/>
    </row>
    <row r="41" spans="3:16" ht="12.75">
      <c r="C41" s="73"/>
      <c r="D41" s="73"/>
      <c r="E41" s="73"/>
      <c r="F41" s="73"/>
      <c r="G41" s="120"/>
      <c r="H41" s="120"/>
      <c r="I41" s="79"/>
      <c r="J41" s="73"/>
      <c r="K41" s="121"/>
      <c r="L41" s="120"/>
      <c r="M41" s="122"/>
      <c r="N41" s="73"/>
      <c r="O41" s="164"/>
      <c r="P41" s="73"/>
    </row>
    <row r="42" spans="3:16" ht="12.75">
      <c r="C42" s="73"/>
      <c r="D42" s="73"/>
      <c r="E42" s="73"/>
      <c r="F42" s="73"/>
      <c r="G42" s="120"/>
      <c r="H42" s="120"/>
      <c r="I42" s="79"/>
      <c r="J42" s="73"/>
      <c r="K42" s="121"/>
      <c r="L42" s="120"/>
      <c r="M42" s="122"/>
      <c r="N42" s="73"/>
      <c r="O42" s="164"/>
      <c r="P42" s="73"/>
    </row>
    <row r="43" spans="3:16" ht="12.75">
      <c r="C43" s="73"/>
      <c r="D43" s="73"/>
      <c r="E43" s="73"/>
      <c r="F43" s="73"/>
      <c r="G43" s="120"/>
      <c r="H43" s="120"/>
      <c r="I43" s="79"/>
      <c r="J43" s="73"/>
      <c r="K43" s="121"/>
      <c r="L43" s="120"/>
      <c r="M43" s="122"/>
      <c r="N43" s="73"/>
      <c r="O43" s="164"/>
      <c r="P43" s="73"/>
    </row>
    <row r="44" spans="3:16" ht="12.75">
      <c r="C44" s="73"/>
      <c r="D44" s="73"/>
      <c r="E44" s="73"/>
      <c r="F44" s="73"/>
      <c r="G44" s="120"/>
      <c r="H44" s="120"/>
      <c r="I44" s="79"/>
      <c r="J44" s="73"/>
      <c r="K44" s="121"/>
      <c r="L44" s="120"/>
      <c r="M44" s="122"/>
      <c r="N44" s="73"/>
      <c r="O44" s="164"/>
      <c r="P44" s="73"/>
    </row>
    <row r="45" spans="3:16" ht="12.75">
      <c r="C45" s="73"/>
      <c r="D45" s="73"/>
      <c r="E45" s="73"/>
      <c r="F45" s="73"/>
      <c r="G45" s="120"/>
      <c r="H45" s="120"/>
      <c r="I45" s="79"/>
      <c r="J45" s="73"/>
      <c r="K45" s="121"/>
      <c r="L45" s="120"/>
      <c r="M45" s="122"/>
      <c r="N45" s="73"/>
      <c r="O45" s="164"/>
      <c r="P45" s="73"/>
    </row>
    <row r="46" spans="3:16" ht="12.75">
      <c r="C46" s="73"/>
      <c r="D46" s="73"/>
      <c r="E46" s="73"/>
      <c r="F46" s="73"/>
      <c r="G46" s="120"/>
      <c r="H46" s="120"/>
      <c r="I46" s="79"/>
      <c r="J46" s="73"/>
      <c r="K46" s="121"/>
      <c r="L46" s="120"/>
      <c r="M46" s="122"/>
      <c r="N46" s="73"/>
      <c r="O46" s="164"/>
      <c r="P46" s="73"/>
    </row>
    <row r="47" spans="3:16" ht="12.75">
      <c r="C47" s="73"/>
      <c r="D47" s="73"/>
      <c r="E47" s="73"/>
      <c r="F47" s="73"/>
      <c r="G47" s="120"/>
      <c r="H47" s="120"/>
      <c r="I47" s="79"/>
      <c r="J47" s="73"/>
      <c r="K47" s="121"/>
      <c r="L47" s="120"/>
      <c r="M47" s="122"/>
      <c r="N47" s="73"/>
      <c r="O47" s="164"/>
      <c r="P47" s="73"/>
    </row>
    <row r="48" spans="3:16" ht="12.75">
      <c r="C48" s="73"/>
      <c r="D48" s="73"/>
      <c r="E48" s="73"/>
      <c r="F48" s="73"/>
      <c r="G48" s="120"/>
      <c r="H48" s="120"/>
      <c r="I48" s="79"/>
      <c r="J48" s="73"/>
      <c r="K48" s="121"/>
      <c r="L48" s="120"/>
      <c r="M48" s="122"/>
      <c r="N48" s="73"/>
      <c r="O48" s="164"/>
      <c r="P48" s="73"/>
    </row>
    <row r="49" spans="3:16" ht="12.75">
      <c r="C49" s="73"/>
      <c r="D49" s="73"/>
      <c r="E49" s="73"/>
      <c r="F49" s="73"/>
      <c r="G49" s="120"/>
      <c r="H49" s="120"/>
      <c r="I49" s="79"/>
      <c r="J49" s="73"/>
      <c r="K49" s="121"/>
      <c r="L49" s="120"/>
      <c r="M49" s="122"/>
      <c r="N49" s="73"/>
      <c r="O49" s="164"/>
      <c r="P49" s="73"/>
    </row>
    <row r="50" spans="3:16" ht="12.75">
      <c r="C50" s="73"/>
      <c r="D50" s="73"/>
      <c r="E50" s="73"/>
      <c r="F50" s="73"/>
      <c r="G50" s="120"/>
      <c r="H50" s="120"/>
      <c r="I50" s="79"/>
      <c r="J50" s="73"/>
      <c r="K50" s="121"/>
      <c r="L50" s="120"/>
      <c r="M50" s="122"/>
      <c r="N50" s="73"/>
      <c r="O50" s="164"/>
      <c r="P50" s="73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 J2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3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7"/>
  <sheetViews>
    <sheetView zoomScalePageLayoutView="0" workbookViewId="0" topLeftCell="A103">
      <selection activeCell="H190" sqref="H1:J16384"/>
    </sheetView>
  </sheetViews>
  <sheetFormatPr defaultColWidth="9.00390625" defaultRowHeight="12.75"/>
  <cols>
    <col min="1" max="1" width="14.625" style="0" customWidth="1"/>
    <col min="3" max="3" width="48.00390625" style="0" customWidth="1"/>
    <col min="9" max="9" width="29.375" style="0" customWidth="1"/>
    <col min="10" max="10" width="18.875" style="0" customWidth="1"/>
  </cols>
  <sheetData>
    <row r="1" spans="3:9" ht="12.75">
      <c r="C1" t="s">
        <v>96</v>
      </c>
      <c r="F1" t="s">
        <v>140</v>
      </c>
      <c r="H1" t="s">
        <v>146</v>
      </c>
      <c r="I1" t="s">
        <v>147</v>
      </c>
    </row>
    <row r="2" spans="1:10" ht="12.75">
      <c r="A2" s="9" t="s">
        <v>7</v>
      </c>
      <c r="C2" s="63" t="s">
        <v>131</v>
      </c>
      <c r="F2" t="s">
        <v>125</v>
      </c>
      <c r="H2" s="208">
        <v>937004</v>
      </c>
      <c r="I2" s="209" t="s">
        <v>148</v>
      </c>
      <c r="J2" s="209" t="s">
        <v>76</v>
      </c>
    </row>
    <row r="3" spans="1:10" ht="12.75">
      <c r="A3" s="10" t="s">
        <v>50</v>
      </c>
      <c r="C3" s="63" t="s">
        <v>132</v>
      </c>
      <c r="F3" t="s">
        <v>126</v>
      </c>
      <c r="H3" s="210">
        <v>937001</v>
      </c>
      <c r="I3" s="211" t="s">
        <v>149</v>
      </c>
      <c r="J3" s="209" t="s">
        <v>76</v>
      </c>
    </row>
    <row r="4" spans="1:10" ht="12.75">
      <c r="A4" s="11" t="s">
        <v>49</v>
      </c>
      <c r="C4" s="63" t="s">
        <v>133</v>
      </c>
      <c r="H4" s="210">
        <v>937021</v>
      </c>
      <c r="I4" s="212" t="s">
        <v>150</v>
      </c>
      <c r="J4" s="209" t="s">
        <v>76</v>
      </c>
    </row>
    <row r="5" spans="1:10" ht="12.75">
      <c r="A5" s="11" t="s">
        <v>58</v>
      </c>
      <c r="C5" s="192" t="s">
        <v>138</v>
      </c>
      <c r="H5" s="208">
        <v>937013</v>
      </c>
      <c r="I5" s="209" t="s">
        <v>151</v>
      </c>
      <c r="J5" s="209" t="s">
        <v>76</v>
      </c>
    </row>
    <row r="6" spans="3:10" ht="12.75">
      <c r="C6" s="192" t="s">
        <v>139</v>
      </c>
      <c r="H6" s="210">
        <v>937012</v>
      </c>
      <c r="I6" s="213" t="s">
        <v>152</v>
      </c>
      <c r="J6" s="209" t="s">
        <v>76</v>
      </c>
    </row>
    <row r="7" spans="1:10" ht="12.75">
      <c r="A7" s="7" t="s">
        <v>52</v>
      </c>
      <c r="C7" s="63" t="s">
        <v>137</v>
      </c>
      <c r="H7" s="210">
        <v>937015</v>
      </c>
      <c r="I7" s="213" t="s">
        <v>153</v>
      </c>
      <c r="J7" s="209" t="s">
        <v>76</v>
      </c>
    </row>
    <row r="8" spans="1:10" ht="12.75">
      <c r="A8" s="8" t="s">
        <v>98</v>
      </c>
      <c r="C8" s="63" t="s">
        <v>134</v>
      </c>
      <c r="H8" s="210">
        <v>937016</v>
      </c>
      <c r="I8" s="213" t="s">
        <v>154</v>
      </c>
      <c r="J8" s="209" t="s">
        <v>76</v>
      </c>
    </row>
    <row r="9" spans="1:10" ht="12.75">
      <c r="A9" s="8" t="s">
        <v>99</v>
      </c>
      <c r="C9" s="63" t="s">
        <v>135</v>
      </c>
      <c r="H9" s="210">
        <v>937017</v>
      </c>
      <c r="I9" s="213" t="s">
        <v>155</v>
      </c>
      <c r="J9" s="209" t="s">
        <v>76</v>
      </c>
    </row>
    <row r="10" spans="3:10" ht="12.75">
      <c r="C10" s="63" t="s">
        <v>136</v>
      </c>
      <c r="H10" s="210">
        <v>937018</v>
      </c>
      <c r="I10" s="213" t="s">
        <v>156</v>
      </c>
      <c r="J10" s="209" t="s">
        <v>76</v>
      </c>
    </row>
    <row r="11" spans="1:10" ht="12.75">
      <c r="A11" s="66" t="s">
        <v>53</v>
      </c>
      <c r="C11" s="63" t="s">
        <v>95</v>
      </c>
      <c r="H11" s="210">
        <v>937003</v>
      </c>
      <c r="I11" s="213" t="s">
        <v>157</v>
      </c>
      <c r="J11" s="209" t="s">
        <v>76</v>
      </c>
    </row>
    <row r="12" spans="1:10" ht="12.75">
      <c r="A12" s="63" t="s">
        <v>76</v>
      </c>
      <c r="C12" s="63" t="s">
        <v>141</v>
      </c>
      <c r="H12" s="210">
        <v>937019</v>
      </c>
      <c r="I12" s="213" t="s">
        <v>158</v>
      </c>
      <c r="J12" s="209" t="s">
        <v>76</v>
      </c>
    </row>
    <row r="13" spans="1:10" ht="12.75">
      <c r="A13" s="63" t="s">
        <v>77</v>
      </c>
      <c r="C13" s="63" t="s">
        <v>145</v>
      </c>
      <c r="H13" s="210">
        <v>937005</v>
      </c>
      <c r="I13" s="213" t="s">
        <v>159</v>
      </c>
      <c r="J13" s="209" t="s">
        <v>76</v>
      </c>
    </row>
    <row r="14" spans="1:10" ht="12.75">
      <c r="A14" s="63" t="s">
        <v>78</v>
      </c>
      <c r="C14" s="63" t="s">
        <v>144</v>
      </c>
      <c r="H14" s="208">
        <v>937006</v>
      </c>
      <c r="I14" s="219" t="s">
        <v>160</v>
      </c>
      <c r="J14" s="209" t="s">
        <v>76</v>
      </c>
    </row>
    <row r="15" spans="1:10" ht="12.75">
      <c r="A15" s="63" t="s">
        <v>79</v>
      </c>
      <c r="C15" s="63" t="s">
        <v>143</v>
      </c>
      <c r="H15" s="210">
        <v>937007</v>
      </c>
      <c r="I15" s="213" t="s">
        <v>161</v>
      </c>
      <c r="J15" s="209" t="s">
        <v>76</v>
      </c>
    </row>
    <row r="16" spans="1:10" ht="12.75">
      <c r="A16" s="63" t="s">
        <v>81</v>
      </c>
      <c r="C16" s="63" t="s">
        <v>142</v>
      </c>
      <c r="H16" s="214">
        <v>937002</v>
      </c>
      <c r="I16" s="215" t="s">
        <v>162</v>
      </c>
      <c r="J16" s="209" t="s">
        <v>76</v>
      </c>
    </row>
    <row r="17" spans="1:10" ht="12.75">
      <c r="A17" s="63" t="s">
        <v>80</v>
      </c>
      <c r="C17" s="63"/>
      <c r="H17" s="210">
        <v>937008</v>
      </c>
      <c r="I17" s="213" t="s">
        <v>163</v>
      </c>
      <c r="J17" s="209" t="s">
        <v>76</v>
      </c>
    </row>
    <row r="18" spans="1:10" ht="12.75">
      <c r="A18" s="63" t="s">
        <v>82</v>
      </c>
      <c r="H18" s="210">
        <v>937009</v>
      </c>
      <c r="I18" s="213" t="s">
        <v>164</v>
      </c>
      <c r="J18" s="209" t="s">
        <v>76</v>
      </c>
    </row>
    <row r="19" spans="1:10" ht="12.75">
      <c r="A19" s="63" t="s">
        <v>83</v>
      </c>
      <c r="H19" s="210">
        <v>937010</v>
      </c>
      <c r="I19" s="213" t="s">
        <v>165</v>
      </c>
      <c r="J19" s="209" t="s">
        <v>76</v>
      </c>
    </row>
    <row r="20" spans="8:10" ht="12.75">
      <c r="H20" s="210">
        <v>937011</v>
      </c>
      <c r="I20" s="211" t="s">
        <v>166</v>
      </c>
      <c r="J20" s="209" t="s">
        <v>76</v>
      </c>
    </row>
    <row r="21" spans="8:10" ht="25.5">
      <c r="H21" s="208">
        <v>937101</v>
      </c>
      <c r="I21" s="216" t="s">
        <v>167</v>
      </c>
      <c r="J21" s="209" t="s">
        <v>76</v>
      </c>
    </row>
    <row r="22" spans="8:10" ht="12.75">
      <c r="H22" s="210">
        <v>937023</v>
      </c>
      <c r="I22" s="213" t="s">
        <v>168</v>
      </c>
      <c r="J22" s="209" t="s">
        <v>76</v>
      </c>
    </row>
    <row r="23" spans="8:10" ht="12.75">
      <c r="H23" s="204">
        <v>940001</v>
      </c>
      <c r="I23" s="205" t="s">
        <v>169</v>
      </c>
      <c r="J23" s="206" t="s">
        <v>77</v>
      </c>
    </row>
    <row r="24" spans="8:10" ht="12.75">
      <c r="H24" s="204">
        <v>940007</v>
      </c>
      <c r="I24" s="205" t="s">
        <v>170</v>
      </c>
      <c r="J24" s="206" t="s">
        <v>77</v>
      </c>
    </row>
    <row r="25" spans="8:10" ht="25.5">
      <c r="H25" s="204">
        <v>940032</v>
      </c>
      <c r="I25" s="206" t="s">
        <v>171</v>
      </c>
      <c r="J25" s="206" t="s">
        <v>77</v>
      </c>
    </row>
    <row r="26" spans="8:10" ht="12.75">
      <c r="H26" s="204">
        <v>940004</v>
      </c>
      <c r="I26" s="205" t="s">
        <v>172</v>
      </c>
      <c r="J26" s="206" t="s">
        <v>77</v>
      </c>
    </row>
    <row r="27" spans="8:10" ht="12.75">
      <c r="H27" s="204">
        <v>940009</v>
      </c>
      <c r="I27" s="205" t="s">
        <v>173</v>
      </c>
      <c r="J27" s="206" t="s">
        <v>77</v>
      </c>
    </row>
    <row r="28" spans="8:10" ht="12.75">
      <c r="H28" s="204">
        <v>940020</v>
      </c>
      <c r="I28" s="205" t="s">
        <v>174</v>
      </c>
      <c r="J28" s="206" t="s">
        <v>77</v>
      </c>
    </row>
    <row r="29" spans="8:10" ht="12.75">
      <c r="H29" s="217">
        <v>940026</v>
      </c>
      <c r="I29" s="218" t="s">
        <v>175</v>
      </c>
      <c r="J29" s="206" t="s">
        <v>77</v>
      </c>
    </row>
    <row r="30" spans="8:10" ht="12.75">
      <c r="H30" s="204">
        <v>940005</v>
      </c>
      <c r="I30" s="205" t="s">
        <v>176</v>
      </c>
      <c r="J30" s="206" t="s">
        <v>77</v>
      </c>
    </row>
    <row r="31" spans="8:10" ht="12.75">
      <c r="H31" s="204">
        <v>940006</v>
      </c>
      <c r="I31" s="205" t="s">
        <v>177</v>
      </c>
      <c r="J31" s="206" t="s">
        <v>77</v>
      </c>
    </row>
    <row r="32" spans="8:10" ht="12.75">
      <c r="H32" s="204">
        <v>940008</v>
      </c>
      <c r="I32" s="205" t="s">
        <v>178</v>
      </c>
      <c r="J32" s="206" t="s">
        <v>77</v>
      </c>
    </row>
    <row r="33" spans="8:10" ht="12.75">
      <c r="H33" s="204">
        <v>940010</v>
      </c>
      <c r="I33" s="205" t="s">
        <v>179</v>
      </c>
      <c r="J33" s="206" t="s">
        <v>77</v>
      </c>
    </row>
    <row r="34" spans="8:10" ht="12.75">
      <c r="H34" s="204">
        <v>940012</v>
      </c>
      <c r="I34" s="205" t="s">
        <v>180</v>
      </c>
      <c r="J34" s="206" t="s">
        <v>77</v>
      </c>
    </row>
    <row r="35" spans="8:10" ht="12.75">
      <c r="H35" s="204">
        <v>940013</v>
      </c>
      <c r="I35" s="205" t="s">
        <v>181</v>
      </c>
      <c r="J35" s="206" t="s">
        <v>77</v>
      </c>
    </row>
    <row r="36" spans="8:10" ht="12.75">
      <c r="H36" s="204">
        <v>940014</v>
      </c>
      <c r="I36" s="205" t="s">
        <v>182</v>
      </c>
      <c r="J36" s="206" t="s">
        <v>77</v>
      </c>
    </row>
    <row r="37" spans="8:10" ht="12.75">
      <c r="H37" s="204">
        <v>940015</v>
      </c>
      <c r="I37" s="205" t="s">
        <v>183</v>
      </c>
      <c r="J37" s="206" t="s">
        <v>77</v>
      </c>
    </row>
    <row r="38" spans="8:10" ht="12.75">
      <c r="H38" s="204">
        <v>940016</v>
      </c>
      <c r="I38" s="205" t="s">
        <v>184</v>
      </c>
      <c r="J38" s="206" t="s">
        <v>77</v>
      </c>
    </row>
    <row r="39" spans="8:10" ht="12.75">
      <c r="H39" s="204">
        <v>940017</v>
      </c>
      <c r="I39" s="205" t="s">
        <v>185</v>
      </c>
      <c r="J39" s="206" t="s">
        <v>77</v>
      </c>
    </row>
    <row r="40" spans="8:10" ht="12.75">
      <c r="H40" s="204">
        <v>940018</v>
      </c>
      <c r="I40" s="205" t="s">
        <v>186</v>
      </c>
      <c r="J40" s="206" t="s">
        <v>77</v>
      </c>
    </row>
    <row r="41" spans="8:10" ht="12.75">
      <c r="H41" s="204">
        <v>940019</v>
      </c>
      <c r="I41" s="205" t="s">
        <v>187</v>
      </c>
      <c r="J41" s="206" t="s">
        <v>77</v>
      </c>
    </row>
    <row r="42" spans="8:10" ht="12.75">
      <c r="H42" s="204">
        <v>940022</v>
      </c>
      <c r="I42" s="205" t="s">
        <v>188</v>
      </c>
      <c r="J42" s="206" t="s">
        <v>77</v>
      </c>
    </row>
    <row r="43" spans="8:10" ht="12.75">
      <c r="H43" s="204">
        <v>940023</v>
      </c>
      <c r="I43" s="205" t="s">
        <v>189</v>
      </c>
      <c r="J43" s="206" t="s">
        <v>77</v>
      </c>
    </row>
    <row r="44" spans="8:10" ht="12.75">
      <c r="H44" s="204">
        <v>940024</v>
      </c>
      <c r="I44" s="205" t="s">
        <v>190</v>
      </c>
      <c r="J44" s="206" t="s">
        <v>77</v>
      </c>
    </row>
    <row r="45" spans="8:10" ht="12.75">
      <c r="H45" s="204">
        <v>940025</v>
      </c>
      <c r="I45" s="205" t="s">
        <v>191</v>
      </c>
      <c r="J45" s="206" t="s">
        <v>77</v>
      </c>
    </row>
    <row r="46" spans="8:10" ht="12.75">
      <c r="H46" s="204">
        <v>940027</v>
      </c>
      <c r="I46" s="205" t="s">
        <v>192</v>
      </c>
      <c r="J46" s="206" t="s">
        <v>77</v>
      </c>
    </row>
    <row r="47" spans="8:10" ht="12.75">
      <c r="H47" s="204">
        <v>940002</v>
      </c>
      <c r="I47" s="205" t="s">
        <v>193</v>
      </c>
      <c r="J47" s="206" t="s">
        <v>77</v>
      </c>
    </row>
    <row r="48" spans="8:10" ht="12.75">
      <c r="H48" s="204">
        <v>940201</v>
      </c>
      <c r="I48" s="205" t="s">
        <v>194</v>
      </c>
      <c r="J48" s="206" t="s">
        <v>77</v>
      </c>
    </row>
    <row r="49" spans="8:10" ht="12.75">
      <c r="H49" s="204">
        <v>940028</v>
      </c>
      <c r="I49" s="205" t="s">
        <v>195</v>
      </c>
      <c r="J49" s="206" t="s">
        <v>77</v>
      </c>
    </row>
    <row r="50" spans="8:10" ht="25.5">
      <c r="H50" s="204">
        <v>940029</v>
      </c>
      <c r="I50" s="207" t="s">
        <v>196</v>
      </c>
      <c r="J50" s="206" t="s">
        <v>77</v>
      </c>
    </row>
    <row r="51" spans="8:10" ht="25.5">
      <c r="H51" s="220">
        <v>941009</v>
      </c>
      <c r="I51" s="221" t="s">
        <v>197</v>
      </c>
      <c r="J51" s="222" t="s">
        <v>78</v>
      </c>
    </row>
    <row r="52" spans="8:10" ht="12.75">
      <c r="H52" s="220">
        <v>941016</v>
      </c>
      <c r="I52" s="221" t="s">
        <v>198</v>
      </c>
      <c r="J52" s="222" t="s">
        <v>78</v>
      </c>
    </row>
    <row r="53" spans="8:10" ht="12.75">
      <c r="H53" s="220">
        <v>941022</v>
      </c>
      <c r="I53" s="221" t="s">
        <v>199</v>
      </c>
      <c r="J53" s="222" t="s">
        <v>78</v>
      </c>
    </row>
    <row r="54" spans="8:10" ht="12.75">
      <c r="H54" s="220">
        <v>941008</v>
      </c>
      <c r="I54" s="221" t="s">
        <v>200</v>
      </c>
      <c r="J54" s="222" t="s">
        <v>78</v>
      </c>
    </row>
    <row r="55" spans="8:10" ht="12.75">
      <c r="H55" s="220">
        <v>941010</v>
      </c>
      <c r="I55" s="221" t="s">
        <v>201</v>
      </c>
      <c r="J55" s="222" t="s">
        <v>78</v>
      </c>
    </row>
    <row r="56" spans="8:10" ht="12.75">
      <c r="H56" s="220">
        <v>941011</v>
      </c>
      <c r="I56" s="221" t="s">
        <v>202</v>
      </c>
      <c r="J56" s="222" t="s">
        <v>78</v>
      </c>
    </row>
    <row r="57" spans="8:10" ht="12.75">
      <c r="H57" s="220">
        <v>941012</v>
      </c>
      <c r="I57" s="221" t="s">
        <v>203</v>
      </c>
      <c r="J57" s="222" t="s">
        <v>78</v>
      </c>
    </row>
    <row r="58" spans="8:10" ht="12.75">
      <c r="H58" s="220">
        <v>941013</v>
      </c>
      <c r="I58" s="221" t="s">
        <v>204</v>
      </c>
      <c r="J58" s="222" t="s">
        <v>78</v>
      </c>
    </row>
    <row r="59" spans="8:10" ht="12.75">
      <c r="H59" s="220">
        <v>941014</v>
      </c>
      <c r="I59" s="221" t="s">
        <v>205</v>
      </c>
      <c r="J59" s="222" t="s">
        <v>78</v>
      </c>
    </row>
    <row r="60" spans="8:10" ht="12.75">
      <c r="H60" s="220">
        <v>941015</v>
      </c>
      <c r="I60" s="221" t="s">
        <v>206</v>
      </c>
      <c r="J60" s="222" t="s">
        <v>78</v>
      </c>
    </row>
    <row r="61" spans="8:10" ht="38.25">
      <c r="H61" s="220">
        <v>941017</v>
      </c>
      <c r="I61" s="221" t="s">
        <v>207</v>
      </c>
      <c r="J61" s="222" t="s">
        <v>78</v>
      </c>
    </row>
    <row r="62" spans="8:10" ht="12.75">
      <c r="H62" s="220">
        <v>941018</v>
      </c>
      <c r="I62" s="221" t="s">
        <v>208</v>
      </c>
      <c r="J62" s="222" t="s">
        <v>78</v>
      </c>
    </row>
    <row r="63" spans="8:10" ht="12.75">
      <c r="H63" s="220">
        <v>941019</v>
      </c>
      <c r="I63" s="221" t="s">
        <v>209</v>
      </c>
      <c r="J63" s="222" t="s">
        <v>78</v>
      </c>
    </row>
    <row r="64" spans="8:10" ht="12.75">
      <c r="H64" s="220">
        <v>941020</v>
      </c>
      <c r="I64" s="221" t="s">
        <v>210</v>
      </c>
      <c r="J64" s="222" t="s">
        <v>78</v>
      </c>
    </row>
    <row r="65" spans="8:10" ht="12.75">
      <c r="H65" s="220">
        <v>941021</v>
      </c>
      <c r="I65" s="221" t="s">
        <v>211</v>
      </c>
      <c r="J65" s="222" t="s">
        <v>78</v>
      </c>
    </row>
    <row r="66" spans="8:10" ht="12.75">
      <c r="H66" s="220">
        <v>941001</v>
      </c>
      <c r="I66" s="221" t="s">
        <v>212</v>
      </c>
      <c r="J66" s="222" t="s">
        <v>78</v>
      </c>
    </row>
    <row r="67" spans="8:10" ht="12.75">
      <c r="H67" s="220">
        <v>941002</v>
      </c>
      <c r="I67" s="221" t="s">
        <v>213</v>
      </c>
      <c r="J67" s="222" t="s">
        <v>78</v>
      </c>
    </row>
    <row r="68" spans="8:10" ht="12.75">
      <c r="H68" s="220">
        <v>941003</v>
      </c>
      <c r="I68" s="221" t="s">
        <v>214</v>
      </c>
      <c r="J68" s="222" t="s">
        <v>78</v>
      </c>
    </row>
    <row r="69" spans="8:10" ht="12.75">
      <c r="H69" s="220">
        <v>941004</v>
      </c>
      <c r="I69" s="221" t="s">
        <v>215</v>
      </c>
      <c r="J69" s="222" t="s">
        <v>78</v>
      </c>
    </row>
    <row r="70" spans="8:10" ht="12.75">
      <c r="H70" s="220">
        <v>941005</v>
      </c>
      <c r="I70" s="221" t="s">
        <v>216</v>
      </c>
      <c r="J70" s="222" t="s">
        <v>78</v>
      </c>
    </row>
    <row r="71" spans="8:10" ht="12.75">
      <c r="H71" s="220">
        <v>941006</v>
      </c>
      <c r="I71" s="221" t="s">
        <v>217</v>
      </c>
      <c r="J71" s="222" t="s">
        <v>78</v>
      </c>
    </row>
    <row r="72" spans="8:10" ht="12.75">
      <c r="H72" s="220">
        <v>941007</v>
      </c>
      <c r="I72" s="221" t="s">
        <v>218</v>
      </c>
      <c r="J72" s="222" t="s">
        <v>78</v>
      </c>
    </row>
    <row r="73" spans="8:10" ht="12.75">
      <c r="H73" s="220">
        <v>941101</v>
      </c>
      <c r="I73" s="221" t="s">
        <v>219</v>
      </c>
      <c r="J73" s="222" t="s">
        <v>78</v>
      </c>
    </row>
    <row r="74" spans="8:10" ht="12.75">
      <c r="H74" s="223">
        <v>941201</v>
      </c>
      <c r="I74" s="221" t="s">
        <v>220</v>
      </c>
      <c r="J74" s="222" t="s">
        <v>78</v>
      </c>
    </row>
    <row r="75" spans="8:10" ht="12.75">
      <c r="H75" s="224">
        <v>942001</v>
      </c>
      <c r="I75" s="225" t="s">
        <v>221</v>
      </c>
      <c r="J75" s="219" t="s">
        <v>79</v>
      </c>
    </row>
    <row r="76" spans="8:10" ht="12.75">
      <c r="H76" s="224">
        <v>942004</v>
      </c>
      <c r="I76" s="225" t="s">
        <v>222</v>
      </c>
      <c r="J76" s="219" t="s">
        <v>79</v>
      </c>
    </row>
    <row r="77" spans="8:10" ht="12.75">
      <c r="H77" s="226">
        <v>942042</v>
      </c>
      <c r="I77" s="225" t="s">
        <v>223</v>
      </c>
      <c r="J77" s="219" t="s">
        <v>79</v>
      </c>
    </row>
    <row r="78" spans="8:10" ht="12.75">
      <c r="H78" s="227"/>
      <c r="I78" s="228" t="s">
        <v>224</v>
      </c>
      <c r="J78" s="219" t="s">
        <v>79</v>
      </c>
    </row>
    <row r="79" spans="8:10" ht="25.5">
      <c r="H79" s="224">
        <v>942016</v>
      </c>
      <c r="I79" s="225" t="s">
        <v>225</v>
      </c>
      <c r="J79" s="219" t="s">
        <v>79</v>
      </c>
    </row>
    <row r="80" spans="8:10" ht="25.5">
      <c r="H80" s="224">
        <v>942002</v>
      </c>
      <c r="I80" s="225" t="s">
        <v>226</v>
      </c>
      <c r="J80" s="219" t="s">
        <v>79</v>
      </c>
    </row>
    <row r="81" spans="8:10" ht="12.75">
      <c r="H81" s="224">
        <v>942027</v>
      </c>
      <c r="I81" s="225" t="s">
        <v>227</v>
      </c>
      <c r="J81" s="219" t="s">
        <v>79</v>
      </c>
    </row>
    <row r="82" spans="8:10" ht="25.5">
      <c r="H82" s="224">
        <v>942026</v>
      </c>
      <c r="I82" s="225" t="s">
        <v>228</v>
      </c>
      <c r="J82" s="219" t="s">
        <v>79</v>
      </c>
    </row>
    <row r="83" spans="8:10" ht="12.75">
      <c r="H83" s="224">
        <v>942031</v>
      </c>
      <c r="I83" s="225" t="s">
        <v>229</v>
      </c>
      <c r="J83" s="219" t="s">
        <v>79</v>
      </c>
    </row>
    <row r="84" spans="8:10" ht="25.5">
      <c r="H84" s="224">
        <v>942003</v>
      </c>
      <c r="I84" s="225" t="s">
        <v>230</v>
      </c>
      <c r="J84" s="219" t="s">
        <v>79</v>
      </c>
    </row>
    <row r="85" spans="8:10" ht="25.5">
      <c r="H85" s="224">
        <v>942024</v>
      </c>
      <c r="I85" s="225" t="s">
        <v>231</v>
      </c>
      <c r="J85" s="219" t="s">
        <v>79</v>
      </c>
    </row>
    <row r="86" spans="8:10" ht="12.75">
      <c r="H86" s="224">
        <v>942020</v>
      </c>
      <c r="I86" s="225" t="s">
        <v>232</v>
      </c>
      <c r="J86" s="219" t="s">
        <v>79</v>
      </c>
    </row>
    <row r="87" spans="8:10" ht="12.75">
      <c r="H87" s="224">
        <v>942025</v>
      </c>
      <c r="I87" s="225" t="s">
        <v>233</v>
      </c>
      <c r="J87" s="219" t="s">
        <v>79</v>
      </c>
    </row>
    <row r="88" spans="8:10" ht="12.75">
      <c r="H88" s="224">
        <v>942028</v>
      </c>
      <c r="I88" s="225" t="s">
        <v>234</v>
      </c>
      <c r="J88" s="219" t="s">
        <v>79</v>
      </c>
    </row>
    <row r="89" spans="8:10" ht="12.75">
      <c r="H89" s="224">
        <v>942005</v>
      </c>
      <c r="I89" s="225" t="s">
        <v>235</v>
      </c>
      <c r="J89" s="219" t="s">
        <v>79</v>
      </c>
    </row>
    <row r="90" spans="8:10" ht="12.75">
      <c r="H90" s="224">
        <v>942029</v>
      </c>
      <c r="I90" s="225" t="s">
        <v>236</v>
      </c>
      <c r="J90" s="219" t="s">
        <v>79</v>
      </c>
    </row>
    <row r="91" spans="8:10" ht="12.75">
      <c r="H91" s="229">
        <v>942032</v>
      </c>
      <c r="I91" s="230" t="s">
        <v>237</v>
      </c>
      <c r="J91" s="219" t="s">
        <v>79</v>
      </c>
    </row>
    <row r="92" spans="8:10" ht="12.75">
      <c r="H92" s="224">
        <v>942033</v>
      </c>
      <c r="I92" s="225" t="s">
        <v>238</v>
      </c>
      <c r="J92" s="219" t="s">
        <v>79</v>
      </c>
    </row>
    <row r="93" spans="8:10" ht="12.75">
      <c r="H93" s="224">
        <v>942034</v>
      </c>
      <c r="I93" s="225" t="s">
        <v>239</v>
      </c>
      <c r="J93" s="219" t="s">
        <v>79</v>
      </c>
    </row>
    <row r="94" spans="8:10" ht="12.75">
      <c r="H94" s="224">
        <v>942006</v>
      </c>
      <c r="I94" s="225" t="s">
        <v>240</v>
      </c>
      <c r="J94" s="219" t="s">
        <v>79</v>
      </c>
    </row>
    <row r="95" spans="8:10" ht="12.75">
      <c r="H95" s="231">
        <v>942039</v>
      </c>
      <c r="I95" s="232" t="s">
        <v>241</v>
      </c>
      <c r="J95" s="219" t="s">
        <v>79</v>
      </c>
    </row>
    <row r="96" spans="8:10" ht="12.75">
      <c r="H96" s="224">
        <v>942007</v>
      </c>
      <c r="I96" s="225" t="s">
        <v>242</v>
      </c>
      <c r="J96" s="219" t="s">
        <v>79</v>
      </c>
    </row>
    <row r="97" spans="8:10" ht="12.75">
      <c r="H97" s="224">
        <v>942008</v>
      </c>
      <c r="I97" s="225" t="s">
        <v>243</v>
      </c>
      <c r="J97" s="219" t="s">
        <v>79</v>
      </c>
    </row>
    <row r="98" spans="8:10" ht="12.75">
      <c r="H98" s="224">
        <v>942009</v>
      </c>
      <c r="I98" s="225" t="s">
        <v>244</v>
      </c>
      <c r="J98" s="219" t="s">
        <v>79</v>
      </c>
    </row>
    <row r="99" spans="8:10" ht="12.75">
      <c r="H99" s="224">
        <v>942010</v>
      </c>
      <c r="I99" s="225" t="s">
        <v>245</v>
      </c>
      <c r="J99" s="219" t="s">
        <v>79</v>
      </c>
    </row>
    <row r="100" spans="8:10" ht="12.75">
      <c r="H100" s="224">
        <v>942011</v>
      </c>
      <c r="I100" s="225" t="s">
        <v>246</v>
      </c>
      <c r="J100" s="219" t="s">
        <v>79</v>
      </c>
    </row>
    <row r="101" spans="8:10" ht="12.75">
      <c r="H101" s="224">
        <v>942012</v>
      </c>
      <c r="I101" s="225" t="s">
        <v>247</v>
      </c>
      <c r="J101" s="219" t="s">
        <v>79</v>
      </c>
    </row>
    <row r="102" spans="8:10" ht="12.75">
      <c r="H102" s="229">
        <v>942014</v>
      </c>
      <c r="I102" s="230" t="s">
        <v>248</v>
      </c>
      <c r="J102" s="219" t="s">
        <v>79</v>
      </c>
    </row>
    <row r="103" spans="8:10" ht="12.75">
      <c r="H103" s="224">
        <v>942015</v>
      </c>
      <c r="I103" s="225" t="s">
        <v>249</v>
      </c>
      <c r="J103" s="219" t="s">
        <v>79</v>
      </c>
    </row>
    <row r="104" spans="8:10" ht="12.75">
      <c r="H104" s="223">
        <v>942017</v>
      </c>
      <c r="I104" s="228" t="s">
        <v>250</v>
      </c>
      <c r="J104" s="219" t="s">
        <v>79</v>
      </c>
    </row>
    <row r="105" spans="8:10" ht="12.75">
      <c r="H105" s="224">
        <v>942018</v>
      </c>
      <c r="I105" s="225" t="s">
        <v>251</v>
      </c>
      <c r="J105" s="219" t="s">
        <v>79</v>
      </c>
    </row>
    <row r="106" spans="8:10" ht="12.75">
      <c r="H106" s="224">
        <v>942019</v>
      </c>
      <c r="I106" s="225" t="s">
        <v>252</v>
      </c>
      <c r="J106" s="219" t="s">
        <v>79</v>
      </c>
    </row>
    <row r="107" spans="8:10" ht="25.5">
      <c r="H107" s="229">
        <v>942021</v>
      </c>
      <c r="I107" s="225" t="s">
        <v>253</v>
      </c>
      <c r="J107" s="219" t="s">
        <v>79</v>
      </c>
    </row>
    <row r="108" spans="8:10" ht="12.75">
      <c r="H108" s="224">
        <v>942022</v>
      </c>
      <c r="I108" s="225" t="s">
        <v>254</v>
      </c>
      <c r="J108" s="219" t="s">
        <v>79</v>
      </c>
    </row>
    <row r="109" spans="8:10" ht="12.75">
      <c r="H109" s="224">
        <v>942023</v>
      </c>
      <c r="I109" s="225" t="s">
        <v>255</v>
      </c>
      <c r="J109" s="219" t="s">
        <v>79</v>
      </c>
    </row>
    <row r="110" spans="8:10" ht="12.75">
      <c r="H110" s="223">
        <v>942036</v>
      </c>
      <c r="I110" s="228" t="s">
        <v>256</v>
      </c>
      <c r="J110" s="219" t="s">
        <v>79</v>
      </c>
    </row>
    <row r="111" spans="8:10" ht="12.75">
      <c r="H111" s="233">
        <v>942035</v>
      </c>
      <c r="I111" s="234" t="s">
        <v>257</v>
      </c>
      <c r="J111" s="219" t="s">
        <v>79</v>
      </c>
    </row>
    <row r="112" spans="8:10" ht="12.75">
      <c r="H112" s="223">
        <v>942013</v>
      </c>
      <c r="I112" s="228" t="s">
        <v>258</v>
      </c>
      <c r="J112" s="219" t="s">
        <v>79</v>
      </c>
    </row>
    <row r="113" spans="8:10" ht="25.5">
      <c r="H113" s="235">
        <v>942041</v>
      </c>
      <c r="I113" s="225" t="s">
        <v>259</v>
      </c>
      <c r="J113" s="219" t="s">
        <v>79</v>
      </c>
    </row>
    <row r="114" spans="8:10" ht="12.75">
      <c r="H114" s="236">
        <v>942038</v>
      </c>
      <c r="I114" s="225" t="s">
        <v>260</v>
      </c>
      <c r="J114" s="219" t="s">
        <v>79</v>
      </c>
    </row>
    <row r="115" spans="8:10" ht="12.75">
      <c r="H115" s="237">
        <v>942039</v>
      </c>
      <c r="I115" s="238" t="s">
        <v>261</v>
      </c>
      <c r="J115" s="219" t="s">
        <v>79</v>
      </c>
    </row>
    <row r="116" spans="8:10" ht="25.5">
      <c r="H116" s="208">
        <v>943020</v>
      </c>
      <c r="I116" s="239" t="s">
        <v>262</v>
      </c>
      <c r="J116" s="209" t="s">
        <v>81</v>
      </c>
    </row>
    <row r="117" spans="8:10" ht="12.75">
      <c r="H117" s="248">
        <v>943032</v>
      </c>
      <c r="I117" s="240" t="s">
        <v>263</v>
      </c>
      <c r="J117" s="209" t="s">
        <v>81</v>
      </c>
    </row>
    <row r="118" spans="8:10" ht="12.75">
      <c r="H118" s="208">
        <v>943017</v>
      </c>
      <c r="I118" s="209" t="s">
        <v>264</v>
      </c>
      <c r="J118" s="209" t="s">
        <v>81</v>
      </c>
    </row>
    <row r="119" spans="8:10" ht="12.75">
      <c r="H119" s="208">
        <v>943026</v>
      </c>
      <c r="I119" s="209" t="s">
        <v>265</v>
      </c>
      <c r="J119" s="209" t="s">
        <v>81</v>
      </c>
    </row>
    <row r="120" spans="8:10" ht="12.75">
      <c r="H120" s="208">
        <v>943002</v>
      </c>
      <c r="I120" s="209" t="s">
        <v>266</v>
      </c>
      <c r="J120" s="209" t="s">
        <v>81</v>
      </c>
    </row>
    <row r="121" spans="8:10" ht="12.75">
      <c r="H121" s="241">
        <v>943015</v>
      </c>
      <c r="I121" s="242" t="s">
        <v>267</v>
      </c>
      <c r="J121" s="209" t="s">
        <v>81</v>
      </c>
    </row>
    <row r="122" spans="8:10" ht="12.75">
      <c r="H122" s="208">
        <v>943003</v>
      </c>
      <c r="I122" s="209" t="s">
        <v>268</v>
      </c>
      <c r="J122" s="209" t="s">
        <v>81</v>
      </c>
    </row>
    <row r="123" spans="8:10" ht="12.75">
      <c r="H123" s="208">
        <v>943016</v>
      </c>
      <c r="I123" s="209" t="s">
        <v>269</v>
      </c>
      <c r="J123" s="209" t="s">
        <v>81</v>
      </c>
    </row>
    <row r="124" spans="8:10" ht="12.75">
      <c r="H124" s="208">
        <v>943018</v>
      </c>
      <c r="I124" s="209" t="s">
        <v>270</v>
      </c>
      <c r="J124" s="209" t="s">
        <v>81</v>
      </c>
    </row>
    <row r="125" spans="8:10" ht="12.75">
      <c r="H125" s="210">
        <v>943019</v>
      </c>
      <c r="I125" s="213" t="s">
        <v>271</v>
      </c>
      <c r="J125" s="209" t="s">
        <v>81</v>
      </c>
    </row>
    <row r="126" spans="8:10" ht="12.75">
      <c r="H126" s="208">
        <v>943004</v>
      </c>
      <c r="I126" s="209" t="s">
        <v>272</v>
      </c>
      <c r="J126" s="209" t="s">
        <v>81</v>
      </c>
    </row>
    <row r="127" spans="8:10" ht="12.75">
      <c r="H127" s="208">
        <v>943021</v>
      </c>
      <c r="I127" s="209" t="s">
        <v>273</v>
      </c>
      <c r="J127" s="209" t="s">
        <v>81</v>
      </c>
    </row>
    <row r="128" spans="8:10" ht="12.75">
      <c r="H128" s="208">
        <v>943022</v>
      </c>
      <c r="I128" s="209" t="s">
        <v>274</v>
      </c>
      <c r="J128" s="209" t="s">
        <v>81</v>
      </c>
    </row>
    <row r="129" spans="8:10" ht="12.75">
      <c r="H129" s="208">
        <v>943023</v>
      </c>
      <c r="I129" s="209" t="s">
        <v>275</v>
      </c>
      <c r="J129" s="209" t="s">
        <v>81</v>
      </c>
    </row>
    <row r="130" spans="8:10" ht="12.75">
      <c r="H130" s="208">
        <v>943001</v>
      </c>
      <c r="I130" s="209" t="s">
        <v>276</v>
      </c>
      <c r="J130" s="209" t="s">
        <v>81</v>
      </c>
    </row>
    <row r="131" spans="8:10" ht="12.75">
      <c r="H131" s="208">
        <v>943024</v>
      </c>
      <c r="I131" s="209" t="s">
        <v>277</v>
      </c>
      <c r="J131" s="209" t="s">
        <v>81</v>
      </c>
    </row>
    <row r="132" spans="8:10" ht="12.75">
      <c r="H132" s="208">
        <v>943025</v>
      </c>
      <c r="I132" s="209" t="s">
        <v>278</v>
      </c>
      <c r="J132" s="209" t="s">
        <v>81</v>
      </c>
    </row>
    <row r="133" spans="8:10" ht="12.75">
      <c r="H133" s="243">
        <v>943005</v>
      </c>
      <c r="I133" s="244" t="s">
        <v>279</v>
      </c>
      <c r="J133" s="209" t="s">
        <v>81</v>
      </c>
    </row>
    <row r="134" spans="8:10" ht="12.75">
      <c r="H134" s="208">
        <v>943007</v>
      </c>
      <c r="I134" s="209" t="s">
        <v>280</v>
      </c>
      <c r="J134" s="209" t="s">
        <v>81</v>
      </c>
    </row>
    <row r="135" spans="8:10" ht="12.75">
      <c r="H135" s="241">
        <v>943008</v>
      </c>
      <c r="I135" s="242" t="s">
        <v>281</v>
      </c>
      <c r="J135" s="209" t="s">
        <v>81</v>
      </c>
    </row>
    <row r="136" spans="8:10" ht="12.75">
      <c r="H136" s="243">
        <v>943009</v>
      </c>
      <c r="I136" s="244" t="s">
        <v>282</v>
      </c>
      <c r="J136" s="209" t="s">
        <v>81</v>
      </c>
    </row>
    <row r="137" spans="8:10" ht="12.75">
      <c r="H137" s="208">
        <v>943010</v>
      </c>
      <c r="I137" s="209" t="s">
        <v>283</v>
      </c>
      <c r="J137" s="209" t="s">
        <v>81</v>
      </c>
    </row>
    <row r="138" spans="8:10" ht="12.75">
      <c r="H138" s="245">
        <v>943029</v>
      </c>
      <c r="I138" s="246" t="s">
        <v>284</v>
      </c>
      <c r="J138" s="209" t="s">
        <v>81</v>
      </c>
    </row>
    <row r="139" spans="8:10" ht="12.75">
      <c r="H139" s="208">
        <v>943201</v>
      </c>
      <c r="I139" s="209" t="s">
        <v>285</v>
      </c>
      <c r="J139" s="209" t="s">
        <v>81</v>
      </c>
    </row>
    <row r="140" spans="8:10" ht="38.25">
      <c r="H140" s="208">
        <v>943027</v>
      </c>
      <c r="I140" s="247" t="s">
        <v>286</v>
      </c>
      <c r="J140" s="209" t="s">
        <v>81</v>
      </c>
    </row>
    <row r="141" spans="8:10" ht="12.75">
      <c r="H141" s="208">
        <v>943028</v>
      </c>
      <c r="I141" s="209" t="s">
        <v>287</v>
      </c>
      <c r="J141" s="209" t="s">
        <v>81</v>
      </c>
    </row>
    <row r="142" spans="8:10" ht="12.75">
      <c r="H142" s="208">
        <v>944013</v>
      </c>
      <c r="I142" s="209" t="s">
        <v>288</v>
      </c>
      <c r="J142" s="249" t="s">
        <v>80</v>
      </c>
    </row>
    <row r="143" spans="8:10" ht="12.75">
      <c r="H143" s="250">
        <v>944014</v>
      </c>
      <c r="I143" s="251" t="s">
        <v>289</v>
      </c>
      <c r="J143" s="249" t="s">
        <v>80</v>
      </c>
    </row>
    <row r="144" spans="8:10" ht="12.75">
      <c r="H144" s="208">
        <v>944001</v>
      </c>
      <c r="I144" s="209" t="s">
        <v>290</v>
      </c>
      <c r="J144" s="249" t="s">
        <v>80</v>
      </c>
    </row>
    <row r="145" spans="8:10" ht="12.75">
      <c r="H145" s="208">
        <v>944002</v>
      </c>
      <c r="I145" s="209" t="s">
        <v>291</v>
      </c>
      <c r="J145" s="249" t="s">
        <v>80</v>
      </c>
    </row>
    <row r="146" spans="8:10" ht="12.75">
      <c r="H146" s="208">
        <v>944004</v>
      </c>
      <c r="I146" s="209" t="s">
        <v>292</v>
      </c>
      <c r="J146" s="249" t="s">
        <v>80</v>
      </c>
    </row>
    <row r="147" spans="8:10" ht="12.75">
      <c r="H147" s="252">
        <v>944005</v>
      </c>
      <c r="I147" s="253" t="s">
        <v>293</v>
      </c>
      <c r="J147" s="249" t="s">
        <v>80</v>
      </c>
    </row>
    <row r="148" spans="8:10" ht="12.75">
      <c r="H148" s="208">
        <v>944006</v>
      </c>
      <c r="I148" s="209" t="s">
        <v>294</v>
      </c>
      <c r="J148" s="249" t="s">
        <v>80</v>
      </c>
    </row>
    <row r="149" spans="8:10" ht="12.75">
      <c r="H149" s="241">
        <v>944007</v>
      </c>
      <c r="I149" s="242" t="s">
        <v>295</v>
      </c>
      <c r="J149" s="249" t="s">
        <v>80</v>
      </c>
    </row>
    <row r="150" spans="8:10" ht="12.75">
      <c r="H150" s="208">
        <v>944008</v>
      </c>
      <c r="I150" s="209" t="s">
        <v>296</v>
      </c>
      <c r="J150" s="249" t="s">
        <v>80</v>
      </c>
    </row>
    <row r="151" spans="8:10" ht="12.75">
      <c r="H151" s="208">
        <v>944009</v>
      </c>
      <c r="I151" s="209" t="s">
        <v>297</v>
      </c>
      <c r="J151" s="249" t="s">
        <v>80</v>
      </c>
    </row>
    <row r="152" spans="8:10" ht="12.75">
      <c r="H152" s="208">
        <v>944010</v>
      </c>
      <c r="I152" s="209" t="s">
        <v>298</v>
      </c>
      <c r="J152" s="249" t="s">
        <v>80</v>
      </c>
    </row>
    <row r="153" spans="8:10" ht="12.75">
      <c r="H153" s="220">
        <v>944011</v>
      </c>
      <c r="I153" s="240" t="s">
        <v>299</v>
      </c>
      <c r="J153" s="249" t="s">
        <v>80</v>
      </c>
    </row>
    <row r="154" spans="8:10" ht="12.75">
      <c r="H154" s="220">
        <v>944003</v>
      </c>
      <c r="I154" s="209" t="s">
        <v>300</v>
      </c>
      <c r="J154" s="249" t="s">
        <v>80</v>
      </c>
    </row>
    <row r="155" spans="8:10" ht="12.75">
      <c r="H155" s="254">
        <v>945018</v>
      </c>
      <c r="I155" s="209" t="s">
        <v>301</v>
      </c>
      <c r="J155" s="209" t="s">
        <v>82</v>
      </c>
    </row>
    <row r="156" spans="8:10" ht="12.75">
      <c r="H156" s="208">
        <v>945022</v>
      </c>
      <c r="I156" s="255" t="s">
        <v>302</v>
      </c>
      <c r="J156" s="209" t="s">
        <v>82</v>
      </c>
    </row>
    <row r="157" spans="8:10" ht="12.75">
      <c r="H157" s="254">
        <v>945003</v>
      </c>
      <c r="I157" s="209" t="s">
        <v>303</v>
      </c>
      <c r="J157" s="209" t="s">
        <v>82</v>
      </c>
    </row>
    <row r="158" spans="8:10" ht="12.75">
      <c r="H158" s="254">
        <v>945015</v>
      </c>
      <c r="I158" s="209" t="s">
        <v>304</v>
      </c>
      <c r="J158" s="209" t="s">
        <v>82</v>
      </c>
    </row>
    <row r="159" spans="8:10" ht="12.75">
      <c r="H159" s="254">
        <v>945011</v>
      </c>
      <c r="I159" s="209" t="s">
        <v>305</v>
      </c>
      <c r="J159" s="209" t="s">
        <v>82</v>
      </c>
    </row>
    <row r="160" spans="8:10" ht="12.75">
      <c r="H160" s="254">
        <v>945006</v>
      </c>
      <c r="I160" s="209" t="s">
        <v>306</v>
      </c>
      <c r="J160" s="209" t="s">
        <v>82</v>
      </c>
    </row>
    <row r="161" spans="8:10" ht="12.75">
      <c r="H161" s="254">
        <v>945007</v>
      </c>
      <c r="I161" s="209" t="s">
        <v>307</v>
      </c>
      <c r="J161" s="209" t="s">
        <v>82</v>
      </c>
    </row>
    <row r="162" spans="8:10" ht="12.75">
      <c r="H162" s="254">
        <v>945008</v>
      </c>
      <c r="I162" s="209" t="s">
        <v>308</v>
      </c>
      <c r="J162" s="209" t="s">
        <v>82</v>
      </c>
    </row>
    <row r="163" spans="8:10" ht="12.75">
      <c r="H163" s="254">
        <v>945009</v>
      </c>
      <c r="I163" s="209" t="s">
        <v>309</v>
      </c>
      <c r="J163" s="209" t="s">
        <v>82</v>
      </c>
    </row>
    <row r="164" spans="8:10" ht="12.75">
      <c r="H164" s="254">
        <v>945012</v>
      </c>
      <c r="I164" s="209" t="s">
        <v>310</v>
      </c>
      <c r="J164" s="209" t="s">
        <v>82</v>
      </c>
    </row>
    <row r="165" spans="8:10" ht="12.75">
      <c r="H165" s="254">
        <v>945014</v>
      </c>
      <c r="I165" s="209" t="s">
        <v>311</v>
      </c>
      <c r="J165" s="209" t="s">
        <v>82</v>
      </c>
    </row>
    <row r="166" spans="8:10" ht="12.75">
      <c r="H166" s="254">
        <v>945016</v>
      </c>
      <c r="I166" s="209" t="s">
        <v>312</v>
      </c>
      <c r="J166" s="209" t="s">
        <v>82</v>
      </c>
    </row>
    <row r="167" spans="8:10" ht="12.75">
      <c r="H167" s="254">
        <v>945017</v>
      </c>
      <c r="I167" s="209" t="s">
        <v>313</v>
      </c>
      <c r="J167" s="209" t="s">
        <v>82</v>
      </c>
    </row>
    <row r="168" spans="8:10" ht="12.75">
      <c r="H168" s="254">
        <v>945004</v>
      </c>
      <c r="I168" s="209" t="s">
        <v>314</v>
      </c>
      <c r="J168" s="209" t="s">
        <v>82</v>
      </c>
    </row>
    <row r="169" spans="8:10" ht="12.75">
      <c r="H169" s="254">
        <v>945005</v>
      </c>
      <c r="I169" s="209" t="s">
        <v>315</v>
      </c>
      <c r="J169" s="209" t="s">
        <v>82</v>
      </c>
    </row>
    <row r="170" spans="8:10" ht="25.5">
      <c r="H170" s="208"/>
      <c r="I170" s="256" t="s">
        <v>316</v>
      </c>
      <c r="J170" s="209" t="s">
        <v>82</v>
      </c>
    </row>
    <row r="171" spans="8:10" ht="12.75">
      <c r="H171" s="254">
        <v>945025</v>
      </c>
      <c r="I171" s="209" t="s">
        <v>317</v>
      </c>
      <c r="J171" s="209" t="s">
        <v>82</v>
      </c>
    </row>
    <row r="172" spans="8:10" ht="12.75">
      <c r="H172" s="254">
        <v>945019</v>
      </c>
      <c r="I172" s="209" t="s">
        <v>318</v>
      </c>
      <c r="J172" s="209" t="s">
        <v>82</v>
      </c>
    </row>
    <row r="173" spans="8:10" ht="12.75">
      <c r="H173" s="257">
        <v>945020</v>
      </c>
      <c r="I173" s="258" t="s">
        <v>319</v>
      </c>
      <c r="J173" s="209" t="s">
        <v>82</v>
      </c>
    </row>
    <row r="174" spans="8:10" ht="12.75">
      <c r="H174" s="259">
        <v>946001</v>
      </c>
      <c r="I174" s="260" t="s">
        <v>320</v>
      </c>
      <c r="J174" s="261" t="s">
        <v>321</v>
      </c>
    </row>
    <row r="175" spans="8:10" ht="12.75">
      <c r="H175" s="259">
        <v>938002</v>
      </c>
      <c r="I175" s="262" t="s">
        <v>322</v>
      </c>
      <c r="J175" s="261" t="s">
        <v>321</v>
      </c>
    </row>
    <row r="176" spans="8:10" ht="12.75">
      <c r="H176" s="259">
        <v>939018</v>
      </c>
      <c r="I176" s="262" t="s">
        <v>323</v>
      </c>
      <c r="J176" s="261" t="s">
        <v>321</v>
      </c>
    </row>
    <row r="177" spans="8:10" ht="12.75">
      <c r="H177" s="259">
        <v>938003</v>
      </c>
      <c r="I177" s="262" t="s">
        <v>324</v>
      </c>
      <c r="J177" s="261" t="s">
        <v>321</v>
      </c>
    </row>
    <row r="178" spans="8:10" ht="25.5">
      <c r="H178" s="259">
        <v>946007</v>
      </c>
      <c r="I178" s="262" t="s">
        <v>325</v>
      </c>
      <c r="J178" s="261" t="s">
        <v>321</v>
      </c>
    </row>
    <row r="179" spans="8:10" ht="12.75">
      <c r="H179" s="259">
        <v>938004</v>
      </c>
      <c r="I179" s="260" t="s">
        <v>326</v>
      </c>
      <c r="J179" s="261" t="s">
        <v>321</v>
      </c>
    </row>
    <row r="180" spans="8:10" ht="12.75">
      <c r="H180" s="259">
        <v>946004</v>
      </c>
      <c r="I180" s="260" t="s">
        <v>327</v>
      </c>
      <c r="J180" s="261" t="s">
        <v>321</v>
      </c>
    </row>
    <row r="181" spans="8:10" ht="25.5">
      <c r="H181" s="263">
        <v>938005</v>
      </c>
      <c r="I181" s="260" t="s">
        <v>328</v>
      </c>
      <c r="J181" s="261" t="s">
        <v>321</v>
      </c>
    </row>
    <row r="182" spans="8:10" ht="12.75">
      <c r="H182" s="259">
        <v>939014</v>
      </c>
      <c r="I182" s="260" t="s">
        <v>329</v>
      </c>
      <c r="J182" s="261" t="s">
        <v>321</v>
      </c>
    </row>
    <row r="183" spans="8:10" ht="12.75">
      <c r="H183" s="259">
        <v>939017</v>
      </c>
      <c r="I183" s="260" t="s">
        <v>330</v>
      </c>
      <c r="J183" s="261" t="s">
        <v>321</v>
      </c>
    </row>
    <row r="184" spans="8:10" ht="12.75">
      <c r="H184" s="259">
        <v>946002</v>
      </c>
      <c r="I184" s="262" t="s">
        <v>331</v>
      </c>
      <c r="J184" s="261" t="s">
        <v>321</v>
      </c>
    </row>
    <row r="185" spans="8:10" ht="12.75">
      <c r="H185" s="259">
        <v>938012</v>
      </c>
      <c r="I185" s="262" t="s">
        <v>332</v>
      </c>
      <c r="J185" s="261" t="s">
        <v>321</v>
      </c>
    </row>
    <row r="186" spans="8:10" ht="12.75">
      <c r="H186" s="259">
        <v>938001</v>
      </c>
      <c r="I186" s="262" t="s">
        <v>333</v>
      </c>
      <c r="J186" s="261" t="s">
        <v>321</v>
      </c>
    </row>
    <row r="187" spans="8:10" ht="12.75">
      <c r="H187" s="259">
        <v>946003</v>
      </c>
      <c r="I187" s="262" t="s">
        <v>334</v>
      </c>
      <c r="J187" s="261" t="s">
        <v>321</v>
      </c>
    </row>
    <row r="188" spans="8:10" ht="12.75">
      <c r="H188" s="259">
        <v>939001</v>
      </c>
      <c r="I188" s="262" t="s">
        <v>335</v>
      </c>
      <c r="J188" s="261" t="s">
        <v>321</v>
      </c>
    </row>
    <row r="189" spans="8:10" ht="12.75">
      <c r="H189" s="259">
        <v>939002</v>
      </c>
      <c r="I189" s="262" t="s">
        <v>336</v>
      </c>
      <c r="J189" s="261" t="s">
        <v>321</v>
      </c>
    </row>
    <row r="190" spans="8:10" ht="12.75">
      <c r="H190" s="259">
        <v>939003</v>
      </c>
      <c r="I190" s="262" t="s">
        <v>337</v>
      </c>
      <c r="J190" s="261" t="s">
        <v>321</v>
      </c>
    </row>
    <row r="191" spans="8:10" ht="12.75">
      <c r="H191" s="259">
        <v>946005</v>
      </c>
      <c r="I191" s="262" t="s">
        <v>338</v>
      </c>
      <c r="J191" s="261" t="s">
        <v>321</v>
      </c>
    </row>
    <row r="192" spans="8:10" ht="12.75">
      <c r="H192" s="259">
        <v>939006</v>
      </c>
      <c r="I192" s="262" t="s">
        <v>339</v>
      </c>
      <c r="J192" s="261" t="s">
        <v>321</v>
      </c>
    </row>
    <row r="193" spans="8:10" ht="12.75">
      <c r="H193" s="259">
        <v>939007</v>
      </c>
      <c r="I193" s="262" t="s">
        <v>340</v>
      </c>
      <c r="J193" s="261" t="s">
        <v>321</v>
      </c>
    </row>
    <row r="194" spans="8:10" ht="12.75">
      <c r="H194" s="259">
        <v>946006</v>
      </c>
      <c r="I194" s="262" t="s">
        <v>341</v>
      </c>
      <c r="J194" s="261" t="s">
        <v>321</v>
      </c>
    </row>
    <row r="195" spans="8:10" ht="12.75">
      <c r="H195" s="259">
        <v>939008</v>
      </c>
      <c r="I195" s="262" t="s">
        <v>342</v>
      </c>
      <c r="J195" s="261" t="s">
        <v>321</v>
      </c>
    </row>
    <row r="196" spans="8:10" ht="12.75">
      <c r="H196" s="259">
        <v>939009</v>
      </c>
      <c r="I196" s="262" t="s">
        <v>343</v>
      </c>
      <c r="J196" s="261" t="s">
        <v>321</v>
      </c>
    </row>
    <row r="197" spans="8:10" ht="12.75">
      <c r="H197" s="259">
        <v>939010</v>
      </c>
      <c r="I197" s="262" t="s">
        <v>344</v>
      </c>
      <c r="J197" s="261" t="s">
        <v>321</v>
      </c>
    </row>
    <row r="198" spans="8:10" ht="12.75">
      <c r="H198" s="259">
        <v>938006</v>
      </c>
      <c r="I198" s="262" t="s">
        <v>345</v>
      </c>
      <c r="J198" s="261" t="s">
        <v>321</v>
      </c>
    </row>
    <row r="199" spans="8:10" ht="12.75">
      <c r="H199" s="259">
        <v>939005</v>
      </c>
      <c r="I199" s="260" t="s">
        <v>346</v>
      </c>
      <c r="J199" s="261" t="s">
        <v>321</v>
      </c>
    </row>
    <row r="200" spans="8:10" ht="12.75">
      <c r="H200" s="259">
        <v>946008</v>
      </c>
      <c r="I200" s="262" t="s">
        <v>347</v>
      </c>
      <c r="J200" s="261" t="s">
        <v>321</v>
      </c>
    </row>
    <row r="201" spans="8:10" ht="12.75">
      <c r="H201" s="259">
        <v>939011</v>
      </c>
      <c r="I201" s="262" t="s">
        <v>348</v>
      </c>
      <c r="J201" s="261" t="s">
        <v>321</v>
      </c>
    </row>
    <row r="202" spans="8:10" ht="12.75">
      <c r="H202" s="259">
        <v>939012</v>
      </c>
      <c r="I202" s="262" t="s">
        <v>349</v>
      </c>
      <c r="J202" s="261" t="s">
        <v>321</v>
      </c>
    </row>
    <row r="203" spans="8:10" ht="12.75">
      <c r="H203" s="259">
        <v>939013</v>
      </c>
      <c r="I203" s="262" t="s">
        <v>350</v>
      </c>
      <c r="J203" s="261" t="s">
        <v>321</v>
      </c>
    </row>
    <row r="204" spans="8:10" ht="12.75">
      <c r="H204" s="259">
        <v>938007</v>
      </c>
      <c r="I204" s="262" t="s">
        <v>351</v>
      </c>
      <c r="J204" s="261" t="s">
        <v>321</v>
      </c>
    </row>
    <row r="205" spans="8:10" ht="12.75">
      <c r="H205" s="259">
        <v>946009</v>
      </c>
      <c r="I205" s="262" t="s">
        <v>352</v>
      </c>
      <c r="J205" s="261" t="s">
        <v>321</v>
      </c>
    </row>
    <row r="206" spans="8:10" ht="12.75">
      <c r="H206" s="259">
        <v>938008</v>
      </c>
      <c r="I206" s="262" t="s">
        <v>353</v>
      </c>
      <c r="J206" s="261" t="s">
        <v>321</v>
      </c>
    </row>
    <row r="207" spans="8:10" ht="12.75">
      <c r="H207" s="259">
        <v>939015</v>
      </c>
      <c r="I207" s="262" t="s">
        <v>354</v>
      </c>
      <c r="J207" s="261" t="s">
        <v>321</v>
      </c>
    </row>
    <row r="208" spans="8:10" ht="12.75">
      <c r="H208" s="259">
        <v>939016</v>
      </c>
      <c r="I208" s="262" t="s">
        <v>355</v>
      </c>
      <c r="J208" s="261" t="s">
        <v>321</v>
      </c>
    </row>
    <row r="209" spans="8:10" ht="12.75">
      <c r="H209" s="259">
        <v>946010</v>
      </c>
      <c r="I209" s="260" t="s">
        <v>356</v>
      </c>
      <c r="J209" s="261" t="s">
        <v>321</v>
      </c>
    </row>
    <row r="210" spans="8:10" ht="12.75">
      <c r="H210" s="259">
        <v>946013</v>
      </c>
      <c r="I210" s="260" t="s">
        <v>357</v>
      </c>
      <c r="J210" s="261" t="s">
        <v>81</v>
      </c>
    </row>
    <row r="211" spans="8:10" ht="12.75">
      <c r="H211" s="263">
        <v>939019</v>
      </c>
      <c r="I211" s="260" t="s">
        <v>358</v>
      </c>
      <c r="J211" s="261" t="s">
        <v>321</v>
      </c>
    </row>
    <row r="212" spans="8:10" ht="12.75">
      <c r="H212" s="259">
        <v>939020</v>
      </c>
      <c r="I212" s="260" t="s">
        <v>359</v>
      </c>
      <c r="J212" s="261" t="s">
        <v>321</v>
      </c>
    </row>
    <row r="213" spans="8:10" ht="12.75">
      <c r="H213" s="259">
        <v>938010</v>
      </c>
      <c r="I213" s="260" t="s">
        <v>360</v>
      </c>
      <c r="J213" s="261" t="s">
        <v>321</v>
      </c>
    </row>
    <row r="214" spans="8:10" ht="12.75">
      <c r="H214" s="259">
        <v>938011</v>
      </c>
      <c r="I214" s="264" t="s">
        <v>361</v>
      </c>
      <c r="J214" s="261" t="s">
        <v>321</v>
      </c>
    </row>
    <row r="215" spans="8:10" ht="12.75">
      <c r="H215" s="259">
        <v>939021</v>
      </c>
      <c r="I215" s="262" t="s">
        <v>362</v>
      </c>
      <c r="J215" s="261" t="s">
        <v>321</v>
      </c>
    </row>
    <row r="216" spans="8:10" ht="12.75">
      <c r="H216" s="259">
        <v>946014</v>
      </c>
      <c r="I216" s="262" t="s">
        <v>363</v>
      </c>
      <c r="J216" s="261" t="s">
        <v>321</v>
      </c>
    </row>
    <row r="217" spans="8:10" ht="12.75">
      <c r="H217" s="265">
        <v>946601</v>
      </c>
      <c r="I217" s="266" t="s">
        <v>364</v>
      </c>
      <c r="J217" s="267" t="s">
        <v>321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19.75390625" style="0" customWidth="1"/>
    <col min="2" max="2" width="8.625" style="0" customWidth="1"/>
    <col min="3" max="4" width="12.25390625" style="0" customWidth="1"/>
    <col min="5" max="5" width="11.375" style="0" customWidth="1"/>
    <col min="6" max="6" width="13.25390625" style="0" customWidth="1"/>
    <col min="7" max="7" width="12.375" style="0" customWidth="1"/>
    <col min="8" max="8" width="13.125" style="0" customWidth="1"/>
    <col min="9" max="9" width="12.625" style="0" customWidth="1"/>
    <col min="10" max="12" width="12.00390625" style="0" customWidth="1"/>
    <col min="13" max="13" width="13.25390625" style="0" customWidth="1"/>
    <col min="14" max="14" width="15.625" style="0" customWidth="1"/>
    <col min="15" max="15" width="15.125" style="0" customWidth="1"/>
  </cols>
  <sheetData>
    <row r="1" spans="1:15" ht="53.25" customHeight="1">
      <c r="A1" s="328" t="s">
        <v>54</v>
      </c>
      <c r="B1" s="328" t="s">
        <v>60</v>
      </c>
      <c r="C1" s="328" t="s">
        <v>118</v>
      </c>
      <c r="D1" s="328"/>
      <c r="E1" s="328" t="s">
        <v>119</v>
      </c>
      <c r="F1" s="328"/>
      <c r="G1" s="328" t="s">
        <v>120</v>
      </c>
      <c r="H1" s="328"/>
      <c r="I1" s="328" t="s">
        <v>121</v>
      </c>
      <c r="J1" s="328"/>
      <c r="K1" s="328" t="s">
        <v>122</v>
      </c>
      <c r="L1" s="328"/>
      <c r="M1" s="326" t="s">
        <v>67</v>
      </c>
      <c r="N1" s="326" t="s">
        <v>68</v>
      </c>
      <c r="O1" s="326" t="s">
        <v>69</v>
      </c>
    </row>
    <row r="2" spans="1:15" ht="15" customHeight="1">
      <c r="A2" s="328"/>
      <c r="B2" s="328"/>
      <c r="C2" s="168" t="s">
        <v>116</v>
      </c>
      <c r="D2" s="168" t="s">
        <v>117</v>
      </c>
      <c r="E2" s="168" t="s">
        <v>116</v>
      </c>
      <c r="F2" s="168" t="s">
        <v>117</v>
      </c>
      <c r="G2" s="168" t="s">
        <v>116</v>
      </c>
      <c r="H2" s="168" t="s">
        <v>117</v>
      </c>
      <c r="I2" s="168" t="s">
        <v>116</v>
      </c>
      <c r="J2" s="168" t="s">
        <v>117</v>
      </c>
      <c r="K2" s="168" t="s">
        <v>116</v>
      </c>
      <c r="L2" s="168" t="s">
        <v>117</v>
      </c>
      <c r="M2" s="327"/>
      <c r="N2" s="327"/>
      <c r="O2" s="327"/>
    </row>
    <row r="3" spans="1:15" ht="12.75">
      <c r="A3" s="61" t="s">
        <v>62</v>
      </c>
      <c r="B3" s="84">
        <f aca="true" ca="1" t="shared" si="0" ref="B3:B26">COUNT(INDIRECT($A3&amp;"!$m$2:$m$1000"))</f>
        <v>32</v>
      </c>
      <c r="C3" s="85">
        <f aca="true" ca="1" t="shared" si="1" ref="C3:C26">IF(B3=0,"",COUNTIF(INDIRECT($A3&amp;"!$m$2:$m$1000"),"0%"))</f>
        <v>0</v>
      </c>
      <c r="D3" s="86">
        <f aca="true" t="shared" si="2" ref="D3:D26">IF(B3=0,"",C3/$B3)</f>
        <v>0</v>
      </c>
      <c r="E3" s="85">
        <f aca="true" ca="1" t="shared" si="3" ref="E3:E26">IF(B3=0,"",_xlfn.COUNTIFS(INDIRECT($A3&amp;"!$m$2:$m$1000"),"&gt;0%",INDIRECT($A3&amp;"!$m$2:$m$1000"),"&lt;=25%"))</f>
        <v>21</v>
      </c>
      <c r="F3" s="86">
        <f>IF(B3=0,"",E3/$B3)</f>
        <v>0.65625</v>
      </c>
      <c r="G3" s="85">
        <f aca="true" ca="1" t="shared" si="4" ref="G3:G26">IF(B3=0,"",_xlfn.COUNTIFS(INDIRECT($A3&amp;"!$m$2:$m$1000"),"&gt;25%",INDIRECT($A3&amp;"!$m$2:$m$1000"),"&lt;=50%"))</f>
        <v>9</v>
      </c>
      <c r="H3" s="86">
        <f>IF(B3=0,"",G3/$B3)</f>
        <v>0.28125</v>
      </c>
      <c r="I3" s="85">
        <f aca="true" ca="1" t="shared" si="5" ref="I3:I26">IF(B3=0,"",_xlfn.COUNTIFS(INDIRECT($A3&amp;"!$m$2:$m$1000"),"&gt;50%",INDIRECT($A3&amp;"!$m$2:$m$1000"),"&lt;=75%"))</f>
        <v>1</v>
      </c>
      <c r="J3" s="86">
        <f>IF(B3=0,"",I3/$B3)</f>
        <v>0.03125</v>
      </c>
      <c r="K3" s="85">
        <f aca="true" ca="1" t="shared" si="6" ref="K3:K26">IF(B3=0,"",_xlfn.COUNTIFS(INDIRECT($A3&amp;"!$m$2:$m$1000"),"&gt;75%",INDIRECT($A3&amp;"!$m$2:$m$1000"),"&lt;=100%"))</f>
        <v>1</v>
      </c>
      <c r="L3" s="86">
        <f>IF(B3=0,"",K3/$B3)</f>
        <v>0.03125</v>
      </c>
      <c r="M3" s="86">
        <f aca="true" ca="1" t="shared" si="7" ref="M3:M26">IF(B3=0,"",AVERAGE(INDIRECT($A3&amp;"!$m$2:$m$1000")))</f>
        <v>0.2420472756410257</v>
      </c>
      <c r="N3" s="86">
        <f aca="true" ca="1" t="shared" si="8" ref="N3:N26">IF(B3=0,"",MAX(INDIRECT($A3&amp;"!$m$2:$m$1000")))</f>
        <v>0.7777777777777778</v>
      </c>
      <c r="O3" s="86">
        <f aca="true" ca="1" t="shared" si="9" ref="O3:O26">IF(B3=0,"",MIN(INDIRECT($A3&amp;"!$m$2:$m$1000")))</f>
        <v>0.0125</v>
      </c>
    </row>
    <row r="4" spans="1:15" ht="12.75">
      <c r="A4" s="62" t="s">
        <v>19</v>
      </c>
      <c r="B4" s="84">
        <f ca="1" t="shared" si="0"/>
        <v>3</v>
      </c>
      <c r="C4" s="85">
        <f ca="1" t="shared" si="1"/>
        <v>0</v>
      </c>
      <c r="D4" s="86">
        <f t="shared" si="2"/>
        <v>0</v>
      </c>
      <c r="E4" s="85">
        <f ca="1" t="shared" si="3"/>
        <v>3</v>
      </c>
      <c r="F4" s="86">
        <f aca="true" t="shared" si="10" ref="F4:F26">IF(B4=0,"",E4/$B4)</f>
        <v>1</v>
      </c>
      <c r="G4" s="85">
        <f ca="1" t="shared" si="4"/>
        <v>0</v>
      </c>
      <c r="H4" s="86">
        <f aca="true" t="shared" si="11" ref="H4:H26">IF(B4=0,"",G4/$B4)</f>
        <v>0</v>
      </c>
      <c r="I4" s="85">
        <f ca="1" t="shared" si="5"/>
        <v>0</v>
      </c>
      <c r="J4" s="86">
        <f aca="true" t="shared" si="12" ref="J4:J26">IF(B4=0,"",I4/$B4)</f>
        <v>0</v>
      </c>
      <c r="K4" s="85">
        <f ca="1" t="shared" si="6"/>
        <v>0</v>
      </c>
      <c r="L4" s="86">
        <f aca="true" t="shared" si="13" ref="L4:L26">IF(B4=0,"",K4/$B4)</f>
        <v>0</v>
      </c>
      <c r="M4" s="86" t="e">
        <f ca="1" t="shared" si="7"/>
        <v>#DIV/0!</v>
      </c>
      <c r="N4" s="86" t="e">
        <f ca="1" t="shared" si="8"/>
        <v>#DIV/0!</v>
      </c>
      <c r="O4" s="86" t="e">
        <f ca="1" t="shared" si="9"/>
        <v>#DIV/0!</v>
      </c>
    </row>
    <row r="5" spans="1:15" ht="12.75">
      <c r="A5" s="62" t="s">
        <v>12</v>
      </c>
      <c r="B5" s="84">
        <f ca="1" t="shared" si="0"/>
        <v>17</v>
      </c>
      <c r="C5" s="85">
        <f ca="1" t="shared" si="1"/>
        <v>0</v>
      </c>
      <c r="D5" s="86">
        <f t="shared" si="2"/>
        <v>0</v>
      </c>
      <c r="E5" s="85">
        <f ca="1" t="shared" si="3"/>
        <v>3</v>
      </c>
      <c r="F5" s="86">
        <f t="shared" si="10"/>
        <v>0.17647058823529413</v>
      </c>
      <c r="G5" s="85">
        <f ca="1" t="shared" si="4"/>
        <v>11</v>
      </c>
      <c r="H5" s="86">
        <f t="shared" si="11"/>
        <v>0.6470588235294118</v>
      </c>
      <c r="I5" s="85">
        <f ca="1" t="shared" si="5"/>
        <v>2</v>
      </c>
      <c r="J5" s="86">
        <f t="shared" si="12"/>
        <v>0.11764705882352941</v>
      </c>
      <c r="K5" s="85">
        <f ca="1" t="shared" si="6"/>
        <v>1</v>
      </c>
      <c r="L5" s="86">
        <f t="shared" si="13"/>
        <v>0.058823529411764705</v>
      </c>
      <c r="M5" s="86">
        <f ca="1" t="shared" si="7"/>
        <v>0.3903317744873722</v>
      </c>
      <c r="N5" s="86">
        <f ca="1" t="shared" si="8"/>
        <v>0.7954545454545454</v>
      </c>
      <c r="O5" s="86">
        <f ca="1" t="shared" si="9"/>
        <v>0.15714285714285714</v>
      </c>
    </row>
    <row r="6" spans="1:15" ht="12.75">
      <c r="A6" s="62" t="s">
        <v>24</v>
      </c>
      <c r="B6" s="84">
        <f ca="1" t="shared" si="0"/>
        <v>9</v>
      </c>
      <c r="C6" s="85">
        <f ca="1" t="shared" si="1"/>
        <v>0</v>
      </c>
      <c r="D6" s="86">
        <f t="shared" si="2"/>
        <v>0</v>
      </c>
      <c r="E6" s="85">
        <f ca="1" t="shared" si="3"/>
        <v>2</v>
      </c>
      <c r="F6" s="86">
        <f t="shared" si="10"/>
        <v>0.2222222222222222</v>
      </c>
      <c r="G6" s="85">
        <f ca="1" t="shared" si="4"/>
        <v>6</v>
      </c>
      <c r="H6" s="86">
        <f t="shared" si="11"/>
        <v>0.6666666666666666</v>
      </c>
      <c r="I6" s="85">
        <f ca="1" t="shared" si="5"/>
        <v>0</v>
      </c>
      <c r="J6" s="86">
        <f t="shared" si="12"/>
        <v>0</v>
      </c>
      <c r="K6" s="85">
        <f ca="1" t="shared" si="6"/>
        <v>1</v>
      </c>
      <c r="L6" s="86">
        <f t="shared" si="13"/>
        <v>0.1111111111111111</v>
      </c>
      <c r="M6" s="86">
        <f ca="1" t="shared" si="7"/>
        <v>0.3985754985754986</v>
      </c>
      <c r="N6" s="86">
        <f ca="1" t="shared" si="8"/>
        <v>0.7666666666666667</v>
      </c>
      <c r="O6" s="86">
        <f ca="1" t="shared" si="9"/>
        <v>0.21666666666666667</v>
      </c>
    </row>
    <row r="7" spans="1:15" ht="12.75">
      <c r="A7" s="62" t="s">
        <v>56</v>
      </c>
      <c r="B7" s="84">
        <f ca="1" t="shared" si="0"/>
        <v>0</v>
      </c>
      <c r="C7" s="85">
        <f ca="1" t="shared" si="1"/>
      </c>
      <c r="D7" s="86">
        <f t="shared" si="2"/>
      </c>
      <c r="E7" s="85">
        <f ca="1" t="shared" si="3"/>
      </c>
      <c r="F7" s="86">
        <f t="shared" si="10"/>
      </c>
      <c r="G7" s="85">
        <f ca="1" t="shared" si="4"/>
      </c>
      <c r="H7" s="86">
        <f t="shared" si="11"/>
      </c>
      <c r="I7" s="85">
        <f ca="1" t="shared" si="5"/>
      </c>
      <c r="J7" s="86">
        <f t="shared" si="12"/>
      </c>
      <c r="K7" s="85">
        <f ca="1" t="shared" si="6"/>
      </c>
      <c r="L7" s="86">
        <f t="shared" si="13"/>
      </c>
      <c r="M7" s="86">
        <f ca="1" t="shared" si="7"/>
      </c>
      <c r="N7" s="86">
        <f ca="1" t="shared" si="8"/>
      </c>
      <c r="O7" s="86">
        <f ca="1" t="shared" si="9"/>
      </c>
    </row>
    <row r="8" spans="1:15" ht="12.75">
      <c r="A8" s="62" t="s">
        <v>55</v>
      </c>
      <c r="B8" s="84">
        <f ca="1" t="shared" si="0"/>
        <v>0</v>
      </c>
      <c r="C8" s="85">
        <f ca="1" t="shared" si="1"/>
      </c>
      <c r="D8" s="86">
        <f t="shared" si="2"/>
      </c>
      <c r="E8" s="85">
        <f ca="1" t="shared" si="3"/>
      </c>
      <c r="F8" s="86">
        <f t="shared" si="10"/>
      </c>
      <c r="G8" s="85">
        <f ca="1" t="shared" si="4"/>
      </c>
      <c r="H8" s="86">
        <f t="shared" si="11"/>
      </c>
      <c r="I8" s="85">
        <f ca="1" t="shared" si="5"/>
      </c>
      <c r="J8" s="86">
        <f t="shared" si="12"/>
      </c>
      <c r="K8" s="85">
        <f ca="1" t="shared" si="6"/>
      </c>
      <c r="L8" s="86">
        <f t="shared" si="13"/>
      </c>
      <c r="M8" s="86">
        <f ca="1" t="shared" si="7"/>
      </c>
      <c r="N8" s="86">
        <f ca="1" t="shared" si="8"/>
      </c>
      <c r="O8" s="86">
        <f ca="1" t="shared" si="9"/>
      </c>
    </row>
    <row r="9" spans="1:15" ht="12.75">
      <c r="A9" s="62" t="s">
        <v>115</v>
      </c>
      <c r="B9" s="84">
        <f ca="1" t="shared" si="0"/>
        <v>0</v>
      </c>
      <c r="C9" s="85">
        <f ca="1" t="shared" si="1"/>
      </c>
      <c r="D9" s="86">
        <f t="shared" si="2"/>
      </c>
      <c r="E9" s="85">
        <f ca="1" t="shared" si="3"/>
      </c>
      <c r="F9" s="86">
        <f t="shared" si="10"/>
      </c>
      <c r="G9" s="85">
        <f ca="1" t="shared" si="4"/>
      </c>
      <c r="H9" s="86">
        <f t="shared" si="11"/>
      </c>
      <c r="I9" s="85">
        <f ca="1" t="shared" si="5"/>
      </c>
      <c r="J9" s="86">
        <f t="shared" si="12"/>
      </c>
      <c r="K9" s="85">
        <f ca="1" t="shared" si="6"/>
      </c>
      <c r="L9" s="86">
        <f t="shared" si="13"/>
      </c>
      <c r="M9" s="86">
        <f ca="1" t="shared" si="7"/>
      </c>
      <c r="N9" s="86">
        <f ca="1" t="shared" si="8"/>
      </c>
      <c r="O9" s="86">
        <f ca="1" t="shared" si="9"/>
      </c>
    </row>
    <row r="10" spans="1:15" ht="12.75">
      <c r="A10" s="62" t="s">
        <v>25</v>
      </c>
      <c r="B10" s="84">
        <f ca="1" t="shared" si="0"/>
        <v>7</v>
      </c>
      <c r="C10" s="85">
        <f ca="1" t="shared" si="1"/>
        <v>0</v>
      </c>
      <c r="D10" s="86">
        <f t="shared" si="2"/>
        <v>0</v>
      </c>
      <c r="E10" s="85">
        <f ca="1" t="shared" si="3"/>
        <v>6</v>
      </c>
      <c r="F10" s="86">
        <f t="shared" si="10"/>
        <v>0.8571428571428571</v>
      </c>
      <c r="G10" s="85">
        <f ca="1" t="shared" si="4"/>
        <v>1</v>
      </c>
      <c r="H10" s="86">
        <f t="shared" si="11"/>
        <v>0.14285714285714285</v>
      </c>
      <c r="I10" s="85">
        <f ca="1" t="shared" si="5"/>
        <v>0</v>
      </c>
      <c r="J10" s="86">
        <f t="shared" si="12"/>
        <v>0</v>
      </c>
      <c r="K10" s="85">
        <f ca="1" t="shared" si="6"/>
        <v>0</v>
      </c>
      <c r="L10" s="86">
        <f t="shared" si="13"/>
        <v>0</v>
      </c>
      <c r="M10" s="86">
        <f ca="1" t="shared" si="7"/>
        <v>0.12142857142857144</v>
      </c>
      <c r="N10" s="86">
        <f ca="1" t="shared" si="8"/>
        <v>0.27</v>
      </c>
      <c r="O10" s="86">
        <f ca="1" t="shared" si="9"/>
        <v>0.03</v>
      </c>
    </row>
    <row r="11" spans="1:15" ht="12.75">
      <c r="A11" s="62" t="s">
        <v>90</v>
      </c>
      <c r="B11" s="84">
        <f ca="1" t="shared" si="0"/>
        <v>0</v>
      </c>
      <c r="C11" s="85">
        <f ca="1" t="shared" si="1"/>
      </c>
      <c r="D11" s="86">
        <f t="shared" si="2"/>
      </c>
      <c r="E11" s="85">
        <f ca="1" t="shared" si="3"/>
      </c>
      <c r="F11" s="86">
        <f t="shared" si="10"/>
      </c>
      <c r="G11" s="85">
        <f ca="1" t="shared" si="4"/>
      </c>
      <c r="H11" s="86">
        <f t="shared" si="11"/>
      </c>
      <c r="I11" s="85">
        <f ca="1" t="shared" si="5"/>
      </c>
      <c r="J11" s="86">
        <f t="shared" si="12"/>
      </c>
      <c r="K11" s="85">
        <f ca="1" t="shared" si="6"/>
      </c>
      <c r="L11" s="86">
        <f t="shared" si="13"/>
      </c>
      <c r="M11" s="86">
        <f ca="1" t="shared" si="7"/>
      </c>
      <c r="N11" s="86">
        <f ca="1" t="shared" si="8"/>
      </c>
      <c r="O11" s="86">
        <f ca="1" t="shared" si="9"/>
      </c>
    </row>
    <row r="12" spans="1:15" ht="12.75">
      <c r="A12" s="62" t="s">
        <v>89</v>
      </c>
      <c r="B12" s="84">
        <f ca="1" t="shared" si="0"/>
        <v>1</v>
      </c>
      <c r="C12" s="85">
        <f ca="1" t="shared" si="1"/>
        <v>0</v>
      </c>
      <c r="D12" s="86">
        <f t="shared" si="2"/>
        <v>0</v>
      </c>
      <c r="E12" s="85">
        <f ca="1" t="shared" si="3"/>
        <v>0</v>
      </c>
      <c r="F12" s="86">
        <f t="shared" si="10"/>
        <v>0</v>
      </c>
      <c r="G12" s="85">
        <f ca="1" t="shared" si="4"/>
        <v>1</v>
      </c>
      <c r="H12" s="86">
        <f t="shared" si="11"/>
        <v>1</v>
      </c>
      <c r="I12" s="85">
        <f ca="1" t="shared" si="5"/>
        <v>0</v>
      </c>
      <c r="J12" s="86">
        <f t="shared" si="12"/>
        <v>0</v>
      </c>
      <c r="K12" s="85">
        <f ca="1" t="shared" si="6"/>
        <v>0</v>
      </c>
      <c r="L12" s="86">
        <f t="shared" si="13"/>
        <v>0</v>
      </c>
      <c r="M12" s="86">
        <f ca="1" t="shared" si="7"/>
        <v>0.36363636363636365</v>
      </c>
      <c r="N12" s="86">
        <f ca="1" t="shared" si="8"/>
        <v>0.36363636363636365</v>
      </c>
      <c r="O12" s="86">
        <f ca="1" t="shared" si="9"/>
        <v>0.36363636363636365</v>
      </c>
    </row>
    <row r="13" spans="1:15" ht="12.75">
      <c r="A13" s="62" t="s">
        <v>22</v>
      </c>
      <c r="B13" s="84">
        <f ca="1" t="shared" si="0"/>
        <v>26</v>
      </c>
      <c r="C13" s="85">
        <f ca="1" t="shared" si="1"/>
        <v>0</v>
      </c>
      <c r="D13" s="86">
        <f t="shared" si="2"/>
        <v>0</v>
      </c>
      <c r="E13" s="85">
        <f ca="1" t="shared" si="3"/>
        <v>13</v>
      </c>
      <c r="F13" s="86">
        <f t="shared" si="10"/>
        <v>0.5</v>
      </c>
      <c r="G13" s="85">
        <f ca="1" t="shared" si="4"/>
        <v>11</v>
      </c>
      <c r="H13" s="86">
        <f t="shared" si="11"/>
        <v>0.4230769230769231</v>
      </c>
      <c r="I13" s="85">
        <f ca="1" t="shared" si="5"/>
        <v>2</v>
      </c>
      <c r="J13" s="86">
        <f t="shared" si="12"/>
        <v>0.07692307692307693</v>
      </c>
      <c r="K13" s="85">
        <f ca="1" t="shared" si="6"/>
        <v>0</v>
      </c>
      <c r="L13" s="86">
        <f t="shared" si="13"/>
        <v>0</v>
      </c>
      <c r="M13" s="86">
        <f ca="1" t="shared" si="7"/>
        <v>0.2789209885137487</v>
      </c>
      <c r="N13" s="86">
        <f ca="1" t="shared" si="8"/>
        <v>0.7</v>
      </c>
      <c r="O13" s="86">
        <f ca="1" t="shared" si="9"/>
        <v>0.038461538461538464</v>
      </c>
    </row>
    <row r="14" spans="1:15" ht="12.75">
      <c r="A14" s="62" t="s">
        <v>10</v>
      </c>
      <c r="B14" s="84">
        <f ca="1" t="shared" si="0"/>
        <v>63</v>
      </c>
      <c r="C14" s="85">
        <f ca="1" t="shared" si="1"/>
        <v>0</v>
      </c>
      <c r="D14" s="86">
        <f t="shared" si="2"/>
        <v>0</v>
      </c>
      <c r="E14" s="85">
        <f ca="1" t="shared" si="3"/>
        <v>15</v>
      </c>
      <c r="F14" s="86">
        <f t="shared" si="10"/>
        <v>0.23809523809523808</v>
      </c>
      <c r="G14" s="85">
        <f ca="1" t="shared" si="4"/>
        <v>17</v>
      </c>
      <c r="H14" s="86">
        <f t="shared" si="11"/>
        <v>0.2698412698412698</v>
      </c>
      <c r="I14" s="85">
        <f ca="1" t="shared" si="5"/>
        <v>18</v>
      </c>
      <c r="J14" s="86">
        <f t="shared" si="12"/>
        <v>0.2857142857142857</v>
      </c>
      <c r="K14" s="85">
        <f ca="1" t="shared" si="6"/>
        <v>13</v>
      </c>
      <c r="L14" s="86">
        <f t="shared" si="13"/>
        <v>0.20634920634920634</v>
      </c>
      <c r="M14" s="86">
        <f ca="1" t="shared" si="7"/>
        <v>0.5025493025493023</v>
      </c>
      <c r="N14" s="86">
        <f ca="1" t="shared" si="8"/>
        <v>1</v>
      </c>
      <c r="O14" s="86">
        <f ca="1" t="shared" si="9"/>
        <v>0.02857142857142857</v>
      </c>
    </row>
    <row r="15" spans="1:15" ht="12.75">
      <c r="A15" s="62" t="s">
        <v>65</v>
      </c>
      <c r="B15" s="84">
        <f ca="1" t="shared" si="0"/>
        <v>0</v>
      </c>
      <c r="C15" s="85">
        <f ca="1" t="shared" si="1"/>
      </c>
      <c r="D15" s="86">
        <f t="shared" si="2"/>
      </c>
      <c r="E15" s="85">
        <f ca="1" t="shared" si="3"/>
      </c>
      <c r="F15" s="86">
        <f t="shared" si="10"/>
      </c>
      <c r="G15" s="85">
        <f ca="1" t="shared" si="4"/>
      </c>
      <c r="H15" s="86">
        <f t="shared" si="11"/>
      </c>
      <c r="I15" s="85">
        <f ca="1" t="shared" si="5"/>
      </c>
      <c r="J15" s="86">
        <f t="shared" si="12"/>
      </c>
      <c r="K15" s="85">
        <f ca="1" t="shared" si="6"/>
      </c>
      <c r="L15" s="86">
        <f t="shared" si="13"/>
      </c>
      <c r="M15" s="86">
        <f ca="1" t="shared" si="7"/>
      </c>
      <c r="N15" s="86">
        <f ca="1" t="shared" si="8"/>
      </c>
      <c r="O15" s="86">
        <f ca="1" t="shared" si="9"/>
      </c>
    </row>
    <row r="16" spans="1:15" ht="12.75">
      <c r="A16" s="62" t="s">
        <v>57</v>
      </c>
      <c r="B16" s="84">
        <f ca="1" t="shared" si="0"/>
        <v>7</v>
      </c>
      <c r="C16" s="85">
        <f ca="1" t="shared" si="1"/>
        <v>0</v>
      </c>
      <c r="D16" s="86">
        <f t="shared" si="2"/>
        <v>0</v>
      </c>
      <c r="E16" s="85">
        <f ca="1" t="shared" si="3"/>
        <v>7</v>
      </c>
      <c r="F16" s="86">
        <f t="shared" si="10"/>
        <v>1</v>
      </c>
      <c r="G16" s="85">
        <f ca="1" t="shared" si="4"/>
        <v>0</v>
      </c>
      <c r="H16" s="86">
        <f t="shared" si="11"/>
        <v>0</v>
      </c>
      <c r="I16" s="85">
        <f ca="1" t="shared" si="5"/>
        <v>0</v>
      </c>
      <c r="J16" s="86">
        <f t="shared" si="12"/>
        <v>0</v>
      </c>
      <c r="K16" s="85">
        <f ca="1" t="shared" si="6"/>
        <v>0</v>
      </c>
      <c r="L16" s="86">
        <f t="shared" si="13"/>
        <v>0</v>
      </c>
      <c r="M16" s="86" t="e">
        <f ca="1" t="shared" si="7"/>
        <v>#DIV/0!</v>
      </c>
      <c r="N16" s="86" t="e">
        <f ca="1" t="shared" si="8"/>
        <v>#DIV/0!</v>
      </c>
      <c r="O16" s="86" t="e">
        <f ca="1" t="shared" si="9"/>
        <v>#DIV/0!</v>
      </c>
    </row>
    <row r="17" spans="1:15" ht="12.75">
      <c r="A17" s="62" t="s">
        <v>45</v>
      </c>
      <c r="B17" s="84">
        <f ca="1" t="shared" si="0"/>
        <v>46</v>
      </c>
      <c r="C17" s="85">
        <f ca="1" t="shared" si="1"/>
        <v>0</v>
      </c>
      <c r="D17" s="86">
        <f t="shared" si="2"/>
        <v>0</v>
      </c>
      <c r="E17" s="85">
        <f ca="1" t="shared" si="3"/>
        <v>14</v>
      </c>
      <c r="F17" s="86">
        <f t="shared" si="10"/>
        <v>0.30434782608695654</v>
      </c>
      <c r="G17" s="85">
        <f ca="1" t="shared" si="4"/>
        <v>25</v>
      </c>
      <c r="H17" s="86">
        <f t="shared" si="11"/>
        <v>0.5434782608695652</v>
      </c>
      <c r="I17" s="85">
        <f ca="1" t="shared" si="5"/>
        <v>7</v>
      </c>
      <c r="J17" s="86">
        <f t="shared" si="12"/>
        <v>0.15217391304347827</v>
      </c>
      <c r="K17" s="85">
        <f ca="1" t="shared" si="6"/>
        <v>0</v>
      </c>
      <c r="L17" s="86">
        <f t="shared" si="13"/>
        <v>0</v>
      </c>
      <c r="M17" s="86">
        <f ca="1" t="shared" si="7"/>
        <v>0.35000000000000003</v>
      </c>
      <c r="N17" s="86">
        <f ca="1" t="shared" si="8"/>
        <v>0.6</v>
      </c>
      <c r="O17" s="86">
        <f ca="1" t="shared" si="9"/>
        <v>0.08</v>
      </c>
    </row>
    <row r="18" spans="1:15" ht="12.75">
      <c r="A18" s="62" t="s">
        <v>18</v>
      </c>
      <c r="B18" s="84">
        <f ca="1" t="shared" si="0"/>
        <v>8</v>
      </c>
      <c r="C18" s="85">
        <f ca="1" t="shared" si="1"/>
        <v>0</v>
      </c>
      <c r="D18" s="86">
        <f t="shared" si="2"/>
        <v>0</v>
      </c>
      <c r="E18" s="85">
        <f ca="1" t="shared" si="3"/>
        <v>4</v>
      </c>
      <c r="F18" s="86">
        <f t="shared" si="10"/>
        <v>0.5</v>
      </c>
      <c r="G18" s="85">
        <f ca="1" t="shared" si="4"/>
        <v>3</v>
      </c>
      <c r="H18" s="86">
        <f t="shared" si="11"/>
        <v>0.375</v>
      </c>
      <c r="I18" s="85">
        <f ca="1" t="shared" si="5"/>
        <v>1</v>
      </c>
      <c r="J18" s="86">
        <f t="shared" si="12"/>
        <v>0.125</v>
      </c>
      <c r="K18" s="85">
        <f ca="1" t="shared" si="6"/>
        <v>0</v>
      </c>
      <c r="L18" s="86">
        <f t="shared" si="13"/>
        <v>0</v>
      </c>
      <c r="M18" s="86">
        <f ca="1" t="shared" si="7"/>
        <v>0.31326547500827534</v>
      </c>
      <c r="N18" s="86">
        <f ca="1" t="shared" si="8"/>
        <v>0.5943396226415094</v>
      </c>
      <c r="O18" s="86">
        <f ca="1" t="shared" si="9"/>
        <v>0.17543859649122806</v>
      </c>
    </row>
    <row r="19" spans="1:15" ht="12.75">
      <c r="A19" s="62" t="s">
        <v>63</v>
      </c>
      <c r="B19" s="84">
        <f ca="1" t="shared" si="0"/>
        <v>66</v>
      </c>
      <c r="C19" s="85">
        <f ca="1" t="shared" si="1"/>
        <v>0</v>
      </c>
      <c r="D19" s="86">
        <f t="shared" si="2"/>
        <v>0</v>
      </c>
      <c r="E19" s="85">
        <f ca="1" t="shared" si="3"/>
        <v>17</v>
      </c>
      <c r="F19" s="86">
        <f t="shared" si="10"/>
        <v>0.25757575757575757</v>
      </c>
      <c r="G19" s="85">
        <f ca="1" t="shared" si="4"/>
        <v>26</v>
      </c>
      <c r="H19" s="86">
        <f t="shared" si="11"/>
        <v>0.3939393939393939</v>
      </c>
      <c r="I19" s="85">
        <f ca="1" t="shared" si="5"/>
        <v>22</v>
      </c>
      <c r="J19" s="86">
        <f t="shared" si="12"/>
        <v>0.3333333333333333</v>
      </c>
      <c r="K19" s="85">
        <f ca="1" t="shared" si="6"/>
        <v>1</v>
      </c>
      <c r="L19" s="86">
        <f t="shared" si="13"/>
        <v>0.015151515151515152</v>
      </c>
      <c r="M19" s="86">
        <f ca="1" t="shared" si="7"/>
        <v>0.417699934506767</v>
      </c>
      <c r="N19" s="86">
        <f ca="1" t="shared" si="8"/>
        <v>0.8263888888888888</v>
      </c>
      <c r="O19" s="86">
        <f ca="1" t="shared" si="9"/>
        <v>0.1125</v>
      </c>
    </row>
    <row r="20" spans="1:15" ht="12.75">
      <c r="A20" s="62" t="s">
        <v>16</v>
      </c>
      <c r="B20" s="84">
        <f ca="1" t="shared" si="0"/>
        <v>0</v>
      </c>
      <c r="C20" s="85">
        <f ca="1" t="shared" si="1"/>
      </c>
      <c r="D20" s="86">
        <f t="shared" si="2"/>
      </c>
      <c r="E20" s="85">
        <f ca="1" t="shared" si="3"/>
      </c>
      <c r="F20" s="86">
        <f t="shared" si="10"/>
      </c>
      <c r="G20" s="85">
        <f ca="1" t="shared" si="4"/>
      </c>
      <c r="H20" s="86">
        <f t="shared" si="11"/>
      </c>
      <c r="I20" s="85">
        <f ca="1" t="shared" si="5"/>
      </c>
      <c r="J20" s="86">
        <f t="shared" si="12"/>
      </c>
      <c r="K20" s="85">
        <f ca="1" t="shared" si="6"/>
      </c>
      <c r="L20" s="86">
        <f t="shared" si="13"/>
      </c>
      <c r="M20" s="86">
        <f ca="1" t="shared" si="7"/>
      </c>
      <c r="N20" s="86">
        <f ca="1" t="shared" si="8"/>
      </c>
      <c r="O20" s="86">
        <f ca="1" t="shared" si="9"/>
      </c>
    </row>
    <row r="21" spans="1:15" ht="12.75">
      <c r="A21" s="62" t="s">
        <v>11</v>
      </c>
      <c r="B21" s="84">
        <f ca="1" t="shared" si="0"/>
        <v>20</v>
      </c>
      <c r="C21" s="85">
        <f ca="1" t="shared" si="1"/>
        <v>0</v>
      </c>
      <c r="D21" s="86">
        <f t="shared" si="2"/>
        <v>0</v>
      </c>
      <c r="E21" s="85">
        <f ca="1" t="shared" si="3"/>
        <v>17</v>
      </c>
      <c r="F21" s="86">
        <f t="shared" si="10"/>
        <v>0.85</v>
      </c>
      <c r="G21" s="85">
        <f ca="1" t="shared" si="4"/>
        <v>2</v>
      </c>
      <c r="H21" s="86">
        <f t="shared" si="11"/>
        <v>0.1</v>
      </c>
      <c r="I21" s="85">
        <f ca="1" t="shared" si="5"/>
        <v>1</v>
      </c>
      <c r="J21" s="86">
        <f t="shared" si="12"/>
        <v>0.05</v>
      </c>
      <c r="K21" s="85">
        <f ca="1" t="shared" si="6"/>
        <v>0</v>
      </c>
      <c r="L21" s="86">
        <f t="shared" si="13"/>
        <v>0</v>
      </c>
      <c r="M21" s="86">
        <f ca="1" t="shared" si="7"/>
        <v>0.15125</v>
      </c>
      <c r="N21" s="86">
        <f ca="1" t="shared" si="8"/>
        <v>0.7</v>
      </c>
      <c r="O21" s="86">
        <f ca="1" t="shared" si="9"/>
        <v>0.04</v>
      </c>
    </row>
    <row r="22" spans="1:15" ht="13.5" customHeight="1">
      <c r="A22" s="62" t="s">
        <v>64</v>
      </c>
      <c r="B22" s="84">
        <f ca="1" t="shared" si="0"/>
        <v>9</v>
      </c>
      <c r="C22" s="85">
        <f ca="1" t="shared" si="1"/>
        <v>0</v>
      </c>
      <c r="D22" s="86">
        <f t="shared" si="2"/>
        <v>0</v>
      </c>
      <c r="E22" s="85">
        <f ca="1" t="shared" si="3"/>
        <v>9</v>
      </c>
      <c r="F22" s="86">
        <f t="shared" si="10"/>
        <v>1</v>
      </c>
      <c r="G22" s="85">
        <f ca="1" t="shared" si="4"/>
        <v>0</v>
      </c>
      <c r="H22" s="86">
        <f t="shared" si="11"/>
        <v>0</v>
      </c>
      <c r="I22" s="85">
        <f ca="1" t="shared" si="5"/>
        <v>0</v>
      </c>
      <c r="J22" s="86">
        <f t="shared" si="12"/>
        <v>0</v>
      </c>
      <c r="K22" s="85">
        <f ca="1" t="shared" si="6"/>
        <v>0</v>
      </c>
      <c r="L22" s="86">
        <f t="shared" si="13"/>
        <v>0</v>
      </c>
      <c r="M22" s="86">
        <f ca="1" t="shared" si="7"/>
        <v>0.17195767195767198</v>
      </c>
      <c r="N22" s="86">
        <f ca="1" t="shared" si="8"/>
        <v>0.19047619047619047</v>
      </c>
      <c r="O22" s="86">
        <f ca="1" t="shared" si="9"/>
        <v>0.11904761904761904</v>
      </c>
    </row>
    <row r="23" spans="1:15" ht="12.75">
      <c r="A23" s="62" t="s">
        <v>66</v>
      </c>
      <c r="B23" s="84">
        <f ca="1" t="shared" si="0"/>
        <v>0</v>
      </c>
      <c r="C23" s="85">
        <f ca="1" t="shared" si="1"/>
      </c>
      <c r="D23" s="86">
        <f t="shared" si="2"/>
      </c>
      <c r="E23" s="85">
        <f ca="1" t="shared" si="3"/>
      </c>
      <c r="F23" s="86">
        <f t="shared" si="10"/>
      </c>
      <c r="G23" s="85">
        <f ca="1" t="shared" si="4"/>
      </c>
      <c r="H23" s="86">
        <f t="shared" si="11"/>
      </c>
      <c r="I23" s="85">
        <f ca="1" t="shared" si="5"/>
      </c>
      <c r="J23" s="86">
        <f t="shared" si="12"/>
      </c>
      <c r="K23" s="85">
        <f ca="1" t="shared" si="6"/>
      </c>
      <c r="L23" s="86">
        <f t="shared" si="13"/>
      </c>
      <c r="M23" s="86">
        <f ca="1" t="shared" si="7"/>
      </c>
      <c r="N23" s="86">
        <f ca="1" t="shared" si="8"/>
      </c>
      <c r="O23" s="86">
        <f ca="1" t="shared" si="9"/>
      </c>
    </row>
    <row r="24" spans="1:15" ht="12.75">
      <c r="A24" s="62" t="s">
        <v>21</v>
      </c>
      <c r="B24" s="84">
        <f ca="1" t="shared" si="0"/>
        <v>6</v>
      </c>
      <c r="C24" s="85">
        <f ca="1" t="shared" si="1"/>
        <v>0</v>
      </c>
      <c r="D24" s="86">
        <f t="shared" si="2"/>
        <v>0</v>
      </c>
      <c r="E24" s="85">
        <f ca="1" t="shared" si="3"/>
        <v>5</v>
      </c>
      <c r="F24" s="86">
        <f t="shared" si="10"/>
        <v>0.8333333333333334</v>
      </c>
      <c r="G24" s="85">
        <f ca="1" t="shared" si="4"/>
        <v>1</v>
      </c>
      <c r="H24" s="86">
        <f t="shared" si="11"/>
        <v>0.16666666666666666</v>
      </c>
      <c r="I24" s="85">
        <f ca="1" t="shared" si="5"/>
        <v>0</v>
      </c>
      <c r="J24" s="86">
        <f t="shared" si="12"/>
        <v>0</v>
      </c>
      <c r="K24" s="85">
        <f ca="1" t="shared" si="6"/>
        <v>0</v>
      </c>
      <c r="L24" s="86">
        <f t="shared" si="13"/>
        <v>0</v>
      </c>
      <c r="M24" s="86" t="e">
        <f ca="1" t="shared" si="7"/>
        <v>#DIV/0!</v>
      </c>
      <c r="N24" s="86" t="e">
        <f ca="1" t="shared" si="8"/>
        <v>#DIV/0!</v>
      </c>
      <c r="O24" s="86" t="e">
        <f ca="1" t="shared" si="9"/>
        <v>#DIV/0!</v>
      </c>
    </row>
    <row r="25" spans="1:15" ht="12.75">
      <c r="A25" s="62" t="s">
        <v>17</v>
      </c>
      <c r="B25" s="84">
        <f ca="1" t="shared" si="0"/>
        <v>2</v>
      </c>
      <c r="C25" s="85">
        <f ca="1" t="shared" si="1"/>
        <v>0</v>
      </c>
      <c r="D25" s="86">
        <f t="shared" si="2"/>
        <v>0</v>
      </c>
      <c r="E25" s="85">
        <f ca="1" t="shared" si="3"/>
        <v>1</v>
      </c>
      <c r="F25" s="86">
        <f t="shared" si="10"/>
        <v>0.5</v>
      </c>
      <c r="G25" s="85">
        <f ca="1" t="shared" si="4"/>
        <v>1</v>
      </c>
      <c r="H25" s="86">
        <f t="shared" si="11"/>
        <v>0.5</v>
      </c>
      <c r="I25" s="85">
        <f ca="1" t="shared" si="5"/>
        <v>0</v>
      </c>
      <c r="J25" s="86">
        <f t="shared" si="12"/>
        <v>0</v>
      </c>
      <c r="K25" s="85">
        <f ca="1" t="shared" si="6"/>
        <v>0</v>
      </c>
      <c r="L25" s="86">
        <f t="shared" si="13"/>
        <v>0</v>
      </c>
      <c r="M25" s="86" t="e">
        <f ca="1" t="shared" si="7"/>
        <v>#DIV/0!</v>
      </c>
      <c r="N25" s="86" t="e">
        <f ca="1" t="shared" si="8"/>
        <v>#DIV/0!</v>
      </c>
      <c r="O25" s="86" t="e">
        <f ca="1" t="shared" si="9"/>
        <v>#DIV/0!</v>
      </c>
    </row>
    <row r="26" spans="1:15" ht="12.75">
      <c r="A26" s="62" t="s">
        <v>23</v>
      </c>
      <c r="B26" s="84">
        <f ca="1" t="shared" si="0"/>
        <v>6</v>
      </c>
      <c r="C26" s="85">
        <f ca="1" t="shared" si="1"/>
        <v>0</v>
      </c>
      <c r="D26" s="86">
        <f t="shared" si="2"/>
        <v>0</v>
      </c>
      <c r="E26" s="85">
        <f ca="1" t="shared" si="3"/>
        <v>4</v>
      </c>
      <c r="F26" s="86">
        <f t="shared" si="10"/>
        <v>0.6666666666666666</v>
      </c>
      <c r="G26" s="85">
        <f ca="1" t="shared" si="4"/>
        <v>2</v>
      </c>
      <c r="H26" s="86">
        <f t="shared" si="11"/>
        <v>0.3333333333333333</v>
      </c>
      <c r="I26" s="85">
        <f ca="1" t="shared" si="5"/>
        <v>0</v>
      </c>
      <c r="J26" s="86">
        <f t="shared" si="12"/>
        <v>0</v>
      </c>
      <c r="K26" s="85">
        <f ca="1" t="shared" si="6"/>
        <v>0</v>
      </c>
      <c r="L26" s="86">
        <f t="shared" si="13"/>
        <v>0</v>
      </c>
      <c r="M26" s="86">
        <f ca="1" t="shared" si="7"/>
        <v>0.18848566308243728</v>
      </c>
      <c r="N26" s="86">
        <f ca="1" t="shared" si="8"/>
        <v>0.30833333333333335</v>
      </c>
      <c r="O26" s="86">
        <f ca="1" t="shared" si="9"/>
        <v>0.11666666666666667</v>
      </c>
    </row>
    <row r="27" spans="1:12" ht="12.75">
      <c r="A27" s="66" t="s">
        <v>61</v>
      </c>
      <c r="B27" s="67">
        <f>SUM(B3:B26)</f>
        <v>328</v>
      </c>
      <c r="C27" s="67">
        <f>SUM(C3:C26)</f>
        <v>0</v>
      </c>
      <c r="D27" s="68">
        <f>C27/$B27</f>
        <v>0</v>
      </c>
      <c r="E27" s="67">
        <f>SUM(E3:E26)</f>
        <v>141</v>
      </c>
      <c r="F27" s="68">
        <f>E27/B27</f>
        <v>0.4298780487804878</v>
      </c>
      <c r="G27" s="67">
        <f>SUM(G3:G26)</f>
        <v>116</v>
      </c>
      <c r="H27" s="68">
        <f>G27/$B27</f>
        <v>0.35365853658536583</v>
      </c>
      <c r="I27" s="67">
        <f>SUM(I3:I26)</f>
        <v>54</v>
      </c>
      <c r="J27" s="68">
        <f>I27/$B27</f>
        <v>0.16463414634146342</v>
      </c>
      <c r="K27" s="67">
        <f>SUM(K3:K26)</f>
        <v>17</v>
      </c>
      <c r="L27" s="68">
        <f>K27/$B27</f>
        <v>0.051829268292682924</v>
      </c>
    </row>
    <row r="28" ht="6.75" customHeight="1"/>
    <row r="29" ht="12.75">
      <c r="A29" s="169" t="s">
        <v>123</v>
      </c>
    </row>
  </sheetData>
  <sheetProtection password="DE6B" sheet="1"/>
  <mergeCells count="10">
    <mergeCell ref="O1:O2"/>
    <mergeCell ref="K1:L1"/>
    <mergeCell ref="B1:B2"/>
    <mergeCell ref="A1:A2"/>
    <mergeCell ref="M1:M2"/>
    <mergeCell ref="N1:N2"/>
    <mergeCell ref="E1:F1"/>
    <mergeCell ref="G1:H1"/>
    <mergeCell ref="I1:J1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47"/>
  <sheetViews>
    <sheetView tabSelected="1" zoomScale="89" zoomScaleNormal="89" zoomScalePageLayoutView="0" workbookViewId="0" topLeftCell="A2">
      <pane xSplit="2" topLeftCell="C1" activePane="topRight" state="frozen"/>
      <selection pane="topLeft" activeCell="A4" sqref="A4"/>
      <selection pane="topRight" activeCell="Q11" sqref="Q11"/>
    </sheetView>
  </sheetViews>
  <sheetFormatPr defaultColWidth="9.00390625" defaultRowHeight="12.75"/>
  <cols>
    <col min="1" max="1" width="3.375" style="26" customWidth="1"/>
    <col min="2" max="2" width="20.75390625" style="26" customWidth="1"/>
    <col min="3" max="3" width="8.625" style="26" customWidth="1"/>
    <col min="4" max="4" width="10.625" style="26" customWidth="1"/>
    <col min="5" max="5" width="9.125" style="26" customWidth="1"/>
    <col min="6" max="6" width="6.625" style="26" customWidth="1"/>
    <col min="7" max="7" width="7.625" style="26" customWidth="1"/>
    <col min="8" max="9" width="10.125" style="26" customWidth="1"/>
    <col min="10" max="10" width="7.375" style="26" customWidth="1"/>
    <col min="11" max="11" width="8.25390625" style="26" customWidth="1"/>
    <col min="12" max="12" width="9.25390625" style="26" customWidth="1"/>
    <col min="13" max="13" width="9.625" style="26" customWidth="1"/>
    <col min="14" max="14" width="6.125" style="26" customWidth="1"/>
    <col min="15" max="15" width="7.25390625" style="26" customWidth="1"/>
    <col min="16" max="17" width="9.75390625" style="26" customWidth="1"/>
    <col min="18" max="18" width="7.625" style="26" customWidth="1"/>
    <col min="19" max="19" width="7.125" style="26" customWidth="1"/>
    <col min="20" max="20" width="9.875" style="26" customWidth="1"/>
    <col min="21" max="21" width="9.625" style="26" customWidth="1"/>
    <col min="22" max="22" width="5.375" style="26" customWidth="1"/>
    <col min="23" max="23" width="7.375" style="26" customWidth="1"/>
    <col min="24" max="25" width="9.75390625" style="26" customWidth="1"/>
    <col min="26" max="26" width="7.375" style="26" customWidth="1"/>
    <col min="27" max="27" width="8.25390625" style="26" customWidth="1"/>
    <col min="28" max="28" width="10.375" style="26" customWidth="1"/>
    <col min="29" max="29" width="9.375" style="26" customWidth="1"/>
    <col min="30" max="30" width="6.00390625" style="26" customWidth="1"/>
    <col min="31" max="31" width="7.625" style="26" customWidth="1"/>
    <col min="32" max="32" width="10.00390625" style="26" customWidth="1"/>
    <col min="33" max="33" width="10.625" style="26" customWidth="1"/>
    <col min="34" max="34" width="7.625" style="26" customWidth="1"/>
    <col min="35" max="35" width="6.625" style="26" customWidth="1"/>
    <col min="36" max="37" width="10.00390625" style="26" customWidth="1"/>
    <col min="38" max="38" width="5.75390625" style="26" customWidth="1"/>
    <col min="39" max="39" width="7.125" style="26" customWidth="1"/>
    <col min="40" max="40" width="10.00390625" style="26" customWidth="1"/>
    <col min="41" max="41" width="11.125" style="26" customWidth="1"/>
    <col min="42" max="42" width="7.625" style="26" customWidth="1"/>
    <col min="43" max="43" width="8.375" style="26" customWidth="1"/>
    <col min="44" max="44" width="10.75390625" style="26" customWidth="1"/>
    <col min="45" max="45" width="9.875" style="26" customWidth="1"/>
    <col min="46" max="46" width="6.75390625" style="26" customWidth="1"/>
    <col min="47" max="47" width="7.125" style="26" customWidth="1"/>
    <col min="48" max="49" width="9.75390625" style="26" customWidth="1"/>
    <col min="50" max="50" width="5.875" style="26" customWidth="1"/>
    <col min="51" max="51" width="6.875" style="26" customWidth="1"/>
    <col min="52" max="52" width="10.25390625" style="26" customWidth="1"/>
    <col min="53" max="53" width="8.00390625" style="26" customWidth="1"/>
    <col min="54" max="54" width="5.75390625" style="26" customWidth="1"/>
    <col min="55" max="55" width="7.00390625" style="26" customWidth="1"/>
    <col min="56" max="56" width="10.00390625" style="26" customWidth="1"/>
    <col min="57" max="57" width="10.625" style="26" customWidth="1"/>
    <col min="58" max="58" width="8.125" style="26" customWidth="1"/>
    <col min="59" max="59" width="7.125" style="26" customWidth="1"/>
    <col min="60" max="60" width="10.375" style="26" customWidth="1"/>
    <col min="61" max="62" width="9.875" style="26" customWidth="1"/>
    <col min="63" max="63" width="7.375" style="26" customWidth="1"/>
    <col min="64" max="64" width="10.00390625" style="26" customWidth="1"/>
    <col min="65" max="65" width="11.00390625" style="26" customWidth="1"/>
    <col min="66" max="66" width="7.375" style="26" customWidth="1"/>
    <col min="67" max="67" width="7.125" style="26" customWidth="1"/>
    <col min="68" max="70" width="9.75390625" style="26" customWidth="1"/>
    <col min="71" max="71" width="6.875" style="26" customWidth="1"/>
    <col min="72" max="72" width="11.875" style="26" customWidth="1"/>
    <col min="73" max="75" width="10.75390625" style="26" customWidth="1"/>
    <col min="76" max="76" width="13.125" style="26" customWidth="1"/>
    <col min="77" max="16384" width="9.125" style="26" customWidth="1"/>
  </cols>
  <sheetData>
    <row r="1" spans="23:30" ht="12.75">
      <c r="W1" s="359"/>
      <c r="X1" s="359"/>
      <c r="Y1" s="145"/>
      <c r="Z1" s="145"/>
      <c r="AA1" s="145"/>
      <c r="AB1" s="1"/>
      <c r="AC1" s="1"/>
      <c r="AD1" s="1"/>
    </row>
    <row r="2" spans="3:68" ht="35.25" customHeight="1">
      <c r="C2" s="346" t="s">
        <v>27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144"/>
      <c r="O2" s="158"/>
      <c r="P2" s="158"/>
      <c r="T2" s="158"/>
      <c r="U2" s="144"/>
      <c r="V2" s="144"/>
      <c r="W2" s="27"/>
      <c r="X2" s="27"/>
      <c r="Y2" s="27"/>
      <c r="Z2" s="27"/>
      <c r="AA2" s="27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144"/>
      <c r="AQ2" s="144"/>
      <c r="AR2" s="27"/>
      <c r="AS2" s="27"/>
      <c r="AT2" s="27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144"/>
      <c r="BO2" s="144"/>
      <c r="BP2" s="27"/>
    </row>
    <row r="3" spans="2:27" ht="15.75" customHeight="1" thickBot="1">
      <c r="B3" s="35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T3" s="28"/>
      <c r="U3" s="153"/>
      <c r="V3" s="153"/>
      <c r="W3" s="153"/>
      <c r="X3" s="28"/>
      <c r="Y3" s="28"/>
      <c r="Z3" s="28"/>
      <c r="AA3" s="28"/>
    </row>
    <row r="4" spans="2:68" ht="24" thickBot="1">
      <c r="B4" s="35"/>
      <c r="C4" s="360" t="str">
        <f>VLOOKUP(Q4,Коды!H2:Y218,2,0)</f>
        <v>МБОУ СОШ № 153</v>
      </c>
      <c r="D4" s="360"/>
      <c r="E4" s="360"/>
      <c r="F4" s="360"/>
      <c r="G4" s="360"/>
      <c r="H4" s="360"/>
      <c r="I4" s="360"/>
      <c r="J4" s="360"/>
      <c r="K4" s="360"/>
      <c r="L4" s="360"/>
      <c r="M4" s="361"/>
      <c r="N4" s="157"/>
      <c r="O4" s="130"/>
      <c r="P4" s="130"/>
      <c r="Q4" s="87">
        <v>937015</v>
      </c>
      <c r="R4" s="195"/>
      <c r="S4" s="195"/>
      <c r="T4" s="130"/>
      <c r="U4" s="268">
        <f>IF(Q4="","Не заполнен код ОУ","")</f>
      </c>
      <c r="V4" s="133"/>
      <c r="W4" s="130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145"/>
      <c r="AT4" s="145"/>
      <c r="AU4" s="145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</row>
    <row r="5" spans="4:47" ht="16.5" customHeight="1">
      <c r="D5" s="29" t="s">
        <v>28</v>
      </c>
      <c r="E5" s="29"/>
      <c r="F5" s="29"/>
      <c r="G5" s="131"/>
      <c r="H5" s="131"/>
      <c r="I5" s="131"/>
      <c r="J5" s="131"/>
      <c r="K5" s="131"/>
      <c r="L5" s="131"/>
      <c r="M5" s="131"/>
      <c r="N5" s="131"/>
      <c r="O5" s="157"/>
      <c r="P5" s="157"/>
      <c r="Q5" s="26" t="s">
        <v>367</v>
      </c>
      <c r="T5" s="157"/>
      <c r="U5" s="131"/>
      <c r="V5" s="131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</row>
    <row r="6" spans="3:47" ht="15" hidden="1">
      <c r="C6" s="132"/>
      <c r="D6" s="132"/>
      <c r="E6" s="99">
        <f>IF(C4="","Нет наименования ОУ","")</f>
      </c>
      <c r="F6" s="99"/>
      <c r="G6" s="132"/>
      <c r="H6" s="132"/>
      <c r="I6" s="132"/>
      <c r="J6" s="132"/>
      <c r="K6" s="132"/>
      <c r="M6" s="99"/>
      <c r="N6" s="99"/>
      <c r="O6" s="92"/>
      <c r="P6" s="92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</row>
    <row r="7" spans="2:19" ht="15" customHeight="1">
      <c r="B7" s="132"/>
      <c r="C7" s="132"/>
      <c r="D7" s="132"/>
      <c r="E7" s="132"/>
      <c r="F7" s="132"/>
      <c r="G7" s="132"/>
      <c r="H7" s="132"/>
      <c r="I7" s="132"/>
      <c r="J7" s="132"/>
      <c r="K7" s="273"/>
      <c r="L7" s="92"/>
      <c r="M7" s="92"/>
      <c r="N7" s="92"/>
      <c r="O7" s="92"/>
      <c r="P7" s="92"/>
      <c r="Q7" s="92"/>
      <c r="R7" s="92"/>
      <c r="S7" s="92"/>
    </row>
    <row r="8" spans="3:76" ht="12.75" customHeight="1">
      <c r="C8" s="332" t="s">
        <v>29</v>
      </c>
      <c r="D8" s="333"/>
      <c r="E8" s="333"/>
      <c r="F8" s="333"/>
      <c r="G8" s="333"/>
      <c r="H8" s="334"/>
      <c r="I8" s="334"/>
      <c r="J8" s="334"/>
      <c r="K8" s="335"/>
      <c r="L8" s="332" t="s">
        <v>92</v>
      </c>
      <c r="M8" s="333"/>
      <c r="N8" s="333"/>
      <c r="O8" s="333"/>
      <c r="P8" s="333"/>
      <c r="Q8" s="335"/>
      <c r="R8" s="336">
        <f>IF(AND(L$38&lt;&gt;0,Q9=0),"Не заполнено количество обучающихся","")</f>
      </c>
      <c r="S8" s="337"/>
      <c r="T8" s="332" t="s">
        <v>30</v>
      </c>
      <c r="U8" s="333"/>
      <c r="V8" s="333"/>
      <c r="W8" s="333"/>
      <c r="X8" s="333"/>
      <c r="Y8" s="335"/>
      <c r="Z8" s="336">
        <f>IF(AND(T$38&lt;&gt;0,Y9=0),"Не заполнено количество обучающихся","")</f>
      </c>
      <c r="AA8" s="337"/>
      <c r="AB8" s="332" t="s">
        <v>31</v>
      </c>
      <c r="AC8" s="333"/>
      <c r="AD8" s="333"/>
      <c r="AE8" s="333"/>
      <c r="AF8" s="333"/>
      <c r="AG8" s="335"/>
      <c r="AH8" s="336">
        <f>IF(AND(AB$38&lt;&gt;0,AG9=0),"Не заполнено количество обучающихся","")</f>
      </c>
      <c r="AI8" s="337"/>
      <c r="AJ8" s="332" t="s">
        <v>32</v>
      </c>
      <c r="AK8" s="333"/>
      <c r="AL8" s="333"/>
      <c r="AM8" s="333"/>
      <c r="AN8" s="333"/>
      <c r="AO8" s="335"/>
      <c r="AP8" s="336">
        <f>IF(AND(AJ$38&lt;&gt;0,AO9=0),"Не заполнено количество обучающихся","")</f>
      </c>
      <c r="AQ8" s="337"/>
      <c r="AR8" s="332" t="s">
        <v>33</v>
      </c>
      <c r="AS8" s="333"/>
      <c r="AT8" s="333"/>
      <c r="AU8" s="333"/>
      <c r="AV8" s="333"/>
      <c r="AW8" s="335"/>
      <c r="AX8" s="336">
        <f>IF(AND(AR$38&lt;&gt;0,AW9=0),"Не заполнено количество обучающихся","")</f>
      </c>
      <c r="AY8" s="337"/>
      <c r="AZ8" s="332" t="s">
        <v>34</v>
      </c>
      <c r="BA8" s="333"/>
      <c r="BB8" s="333"/>
      <c r="BC8" s="333"/>
      <c r="BD8" s="333"/>
      <c r="BE8" s="335"/>
      <c r="BF8" s="336">
        <f>IF(AND(AZ$38&lt;&gt;0,BE9=0),"Не заполнено количество обучающихся","")</f>
      </c>
      <c r="BG8" s="337"/>
      <c r="BH8" s="332" t="s">
        <v>35</v>
      </c>
      <c r="BI8" s="333"/>
      <c r="BJ8" s="333"/>
      <c r="BK8" s="333"/>
      <c r="BL8" s="333"/>
      <c r="BM8" s="335"/>
      <c r="BN8" s="336">
        <f>IF(AND(BH$38&lt;&gt;0,BM9=0),"Не заполнено количество обучающихся","")</f>
      </c>
      <c r="BO8" s="337"/>
      <c r="BP8" s="332" t="s">
        <v>36</v>
      </c>
      <c r="BQ8" s="333"/>
      <c r="BR8" s="333"/>
      <c r="BS8" s="333"/>
      <c r="BT8" s="333"/>
      <c r="BU8" s="335"/>
      <c r="BV8" s="336">
        <f>IF(AND(BP$38&lt;&gt;0,BU9=0),"Не заполнено количество обучающихся","")</f>
      </c>
      <c r="BW8" s="337"/>
      <c r="BX8" s="362" t="s">
        <v>51</v>
      </c>
    </row>
    <row r="9" spans="3:76" s="150" customFormat="1" ht="17.25" customHeight="1">
      <c r="C9" s="348" t="s">
        <v>91</v>
      </c>
      <c r="D9" s="344"/>
      <c r="E9" s="344"/>
      <c r="F9" s="344"/>
      <c r="G9" s="344"/>
      <c r="H9" s="344">
        <f>Q9+Y9+AG9+AO9+AW9+BE9+BM9+BU9</f>
        <v>534</v>
      </c>
      <c r="I9" s="344"/>
      <c r="J9" s="272"/>
      <c r="K9" s="272"/>
      <c r="L9" s="348" t="s">
        <v>37</v>
      </c>
      <c r="M9" s="344"/>
      <c r="N9" s="344"/>
      <c r="O9" s="344"/>
      <c r="P9" s="349"/>
      <c r="Q9" s="148">
        <v>92</v>
      </c>
      <c r="R9" s="338"/>
      <c r="S9" s="339"/>
      <c r="T9" s="344" t="s">
        <v>37</v>
      </c>
      <c r="U9" s="344"/>
      <c r="V9" s="344"/>
      <c r="W9" s="344"/>
      <c r="X9" s="349"/>
      <c r="Y9" s="148">
        <v>84</v>
      </c>
      <c r="Z9" s="338"/>
      <c r="AA9" s="339"/>
      <c r="AB9" s="348" t="s">
        <v>37</v>
      </c>
      <c r="AC9" s="344"/>
      <c r="AD9" s="344"/>
      <c r="AE9" s="344"/>
      <c r="AF9" s="349"/>
      <c r="AG9" s="148">
        <v>76</v>
      </c>
      <c r="AH9" s="338"/>
      <c r="AI9" s="339"/>
      <c r="AJ9" s="348" t="s">
        <v>37</v>
      </c>
      <c r="AK9" s="344"/>
      <c r="AL9" s="344"/>
      <c r="AM9" s="344"/>
      <c r="AN9" s="349"/>
      <c r="AO9" s="148">
        <v>86</v>
      </c>
      <c r="AP9" s="338"/>
      <c r="AQ9" s="339"/>
      <c r="AR9" s="348" t="s">
        <v>37</v>
      </c>
      <c r="AS9" s="344"/>
      <c r="AT9" s="344"/>
      <c r="AU9" s="344"/>
      <c r="AV9" s="349"/>
      <c r="AW9" s="148">
        <v>71</v>
      </c>
      <c r="AX9" s="338"/>
      <c r="AY9" s="339"/>
      <c r="AZ9" s="348" t="s">
        <v>37</v>
      </c>
      <c r="BA9" s="344"/>
      <c r="BB9" s="344"/>
      <c r="BC9" s="344"/>
      <c r="BD9" s="349"/>
      <c r="BE9" s="148">
        <v>76</v>
      </c>
      <c r="BF9" s="338"/>
      <c r="BG9" s="339"/>
      <c r="BH9" s="348" t="s">
        <v>37</v>
      </c>
      <c r="BI9" s="344"/>
      <c r="BJ9" s="344"/>
      <c r="BK9" s="344"/>
      <c r="BL9" s="349"/>
      <c r="BM9" s="148">
        <v>27</v>
      </c>
      <c r="BN9" s="338"/>
      <c r="BO9" s="339"/>
      <c r="BP9" s="348" t="s">
        <v>37</v>
      </c>
      <c r="BQ9" s="344"/>
      <c r="BR9" s="344"/>
      <c r="BS9" s="344"/>
      <c r="BT9" s="349"/>
      <c r="BU9" s="149">
        <v>22</v>
      </c>
      <c r="BV9" s="338"/>
      <c r="BW9" s="339"/>
      <c r="BX9" s="362"/>
    </row>
    <row r="10" spans="1:76" s="150" customFormat="1" ht="18.75" customHeight="1">
      <c r="A10" s="151"/>
      <c r="B10" s="151"/>
      <c r="C10" s="350" t="s">
        <v>103</v>
      </c>
      <c r="D10" s="351"/>
      <c r="E10" s="351"/>
      <c r="F10" s="351"/>
      <c r="G10" s="351"/>
      <c r="H10" s="344">
        <f>Y10+AG10+AO10+AW10+BE10+BM10+BU10</f>
        <v>0</v>
      </c>
      <c r="I10" s="344"/>
      <c r="J10" s="179"/>
      <c r="K10" s="179"/>
      <c r="L10" s="356"/>
      <c r="M10" s="357"/>
      <c r="N10" s="357"/>
      <c r="O10" s="357"/>
      <c r="P10" s="358"/>
      <c r="Q10" s="159"/>
      <c r="R10" s="340"/>
      <c r="S10" s="341"/>
      <c r="T10" s="351" t="s">
        <v>102</v>
      </c>
      <c r="U10" s="351"/>
      <c r="V10" s="351"/>
      <c r="W10" s="351"/>
      <c r="X10" s="352"/>
      <c r="Y10" s="159"/>
      <c r="Z10" s="340"/>
      <c r="AA10" s="341"/>
      <c r="AB10" s="350" t="s">
        <v>102</v>
      </c>
      <c r="AC10" s="351"/>
      <c r="AD10" s="351"/>
      <c r="AE10" s="351"/>
      <c r="AF10" s="352"/>
      <c r="AG10" s="159"/>
      <c r="AH10" s="340"/>
      <c r="AI10" s="341"/>
      <c r="AJ10" s="350" t="s">
        <v>102</v>
      </c>
      <c r="AK10" s="351"/>
      <c r="AL10" s="351"/>
      <c r="AM10" s="351"/>
      <c r="AN10" s="352"/>
      <c r="AO10" s="148">
        <v>0</v>
      </c>
      <c r="AP10" s="340"/>
      <c r="AQ10" s="341"/>
      <c r="AR10" s="350" t="s">
        <v>102</v>
      </c>
      <c r="AS10" s="351"/>
      <c r="AT10" s="351"/>
      <c r="AU10" s="351"/>
      <c r="AV10" s="352"/>
      <c r="AW10" s="152">
        <v>0</v>
      </c>
      <c r="AX10" s="340"/>
      <c r="AY10" s="341"/>
      <c r="AZ10" s="350" t="s">
        <v>102</v>
      </c>
      <c r="BA10" s="351"/>
      <c r="BB10" s="351"/>
      <c r="BC10" s="351"/>
      <c r="BD10" s="352"/>
      <c r="BE10" s="152">
        <v>0</v>
      </c>
      <c r="BF10" s="340"/>
      <c r="BG10" s="341"/>
      <c r="BH10" s="350" t="s">
        <v>102</v>
      </c>
      <c r="BI10" s="351"/>
      <c r="BJ10" s="351"/>
      <c r="BK10" s="351"/>
      <c r="BL10" s="352"/>
      <c r="BM10" s="152">
        <v>0</v>
      </c>
      <c r="BN10" s="340"/>
      <c r="BO10" s="341"/>
      <c r="BP10" s="350" t="s">
        <v>102</v>
      </c>
      <c r="BQ10" s="351"/>
      <c r="BR10" s="351"/>
      <c r="BS10" s="351"/>
      <c r="BT10" s="352"/>
      <c r="BU10" s="147">
        <v>0</v>
      </c>
      <c r="BV10" s="340"/>
      <c r="BW10" s="341"/>
      <c r="BX10" s="362"/>
    </row>
    <row r="11" spans="1:76" s="150" customFormat="1" ht="15" customHeight="1">
      <c r="A11" s="151"/>
      <c r="B11" s="151"/>
      <c r="C11" s="342" t="s">
        <v>130</v>
      </c>
      <c r="D11" s="343"/>
      <c r="E11" s="343"/>
      <c r="F11" s="343"/>
      <c r="G11" s="343"/>
      <c r="H11" s="344">
        <f>Y11+AG11+AO11+AW11+BE11+BM11+BU11+Q11</f>
        <v>4</v>
      </c>
      <c r="I11" s="344"/>
      <c r="J11" s="187"/>
      <c r="K11" s="188"/>
      <c r="L11" s="342" t="s">
        <v>130</v>
      </c>
      <c r="M11" s="343"/>
      <c r="N11" s="343"/>
      <c r="O11" s="343"/>
      <c r="P11" s="343"/>
      <c r="Q11" s="152">
        <v>1</v>
      </c>
      <c r="R11" s="190"/>
      <c r="S11" s="189"/>
      <c r="T11" s="330" t="s">
        <v>130</v>
      </c>
      <c r="U11" s="331"/>
      <c r="V11" s="331"/>
      <c r="W11" s="331"/>
      <c r="X11" s="331"/>
      <c r="Y11" s="152">
        <v>3</v>
      </c>
      <c r="Z11" s="274"/>
      <c r="AA11" s="275"/>
      <c r="AB11" s="330" t="s">
        <v>130</v>
      </c>
      <c r="AC11" s="331"/>
      <c r="AD11" s="331"/>
      <c r="AE11" s="331"/>
      <c r="AF11" s="331"/>
      <c r="AG11" s="152">
        <v>0</v>
      </c>
      <c r="AH11" s="274"/>
      <c r="AI11" s="275"/>
      <c r="AJ11" s="330" t="s">
        <v>130</v>
      </c>
      <c r="AK11" s="331"/>
      <c r="AL11" s="331"/>
      <c r="AM11" s="331"/>
      <c r="AN11" s="331"/>
      <c r="AO11" s="152">
        <v>0</v>
      </c>
      <c r="AP11" s="274"/>
      <c r="AQ11" s="275"/>
      <c r="AR11" s="330" t="s">
        <v>130</v>
      </c>
      <c r="AS11" s="331"/>
      <c r="AT11" s="331"/>
      <c r="AU11" s="331"/>
      <c r="AV11" s="331"/>
      <c r="AW11" s="152">
        <v>0</v>
      </c>
      <c r="AX11" s="274"/>
      <c r="AY11" s="275"/>
      <c r="AZ11" s="330" t="s">
        <v>130</v>
      </c>
      <c r="BA11" s="331"/>
      <c r="BB11" s="331"/>
      <c r="BC11" s="331"/>
      <c r="BD11" s="331"/>
      <c r="BE11" s="152">
        <v>0</v>
      </c>
      <c r="BF11" s="274"/>
      <c r="BG11" s="275"/>
      <c r="BH11" s="330" t="s">
        <v>130</v>
      </c>
      <c r="BI11" s="331"/>
      <c r="BJ11" s="331"/>
      <c r="BK11" s="331"/>
      <c r="BL11" s="331"/>
      <c r="BM11" s="152">
        <v>0</v>
      </c>
      <c r="BN11" s="274"/>
      <c r="BO11" s="275"/>
      <c r="BP11" s="330" t="s">
        <v>130</v>
      </c>
      <c r="BQ11" s="331"/>
      <c r="BR11" s="331"/>
      <c r="BS11" s="331"/>
      <c r="BT11" s="331"/>
      <c r="BU11" s="147">
        <v>0</v>
      </c>
      <c r="BV11" s="274"/>
      <c r="BW11" s="275"/>
      <c r="BX11" s="362"/>
    </row>
    <row r="12" spans="1:76" s="183" customFormat="1" ht="46.5" customHeight="1">
      <c r="A12" s="180" t="s">
        <v>38</v>
      </c>
      <c r="B12" s="180" t="s">
        <v>39</v>
      </c>
      <c r="C12" s="181" t="s">
        <v>40</v>
      </c>
      <c r="D12" s="181" t="s">
        <v>41</v>
      </c>
      <c r="E12" s="182" t="s">
        <v>108</v>
      </c>
      <c r="F12" s="182" t="s">
        <v>127</v>
      </c>
      <c r="G12" s="181" t="s">
        <v>42</v>
      </c>
      <c r="H12" s="180" t="s">
        <v>43</v>
      </c>
      <c r="I12" s="182" t="s">
        <v>109</v>
      </c>
      <c r="J12" s="182" t="s">
        <v>128</v>
      </c>
      <c r="K12" s="185" t="s">
        <v>129</v>
      </c>
      <c r="L12" s="181" t="s">
        <v>41</v>
      </c>
      <c r="M12" s="182" t="s">
        <v>108</v>
      </c>
      <c r="N12" s="182" t="s">
        <v>127</v>
      </c>
      <c r="O12" s="181" t="s">
        <v>42</v>
      </c>
      <c r="P12" s="181" t="s">
        <v>43</v>
      </c>
      <c r="Q12" s="182" t="s">
        <v>109</v>
      </c>
      <c r="R12" s="186" t="s">
        <v>128</v>
      </c>
      <c r="S12" s="184" t="s">
        <v>129</v>
      </c>
      <c r="T12" s="181" t="s">
        <v>41</v>
      </c>
      <c r="U12" s="182" t="s">
        <v>108</v>
      </c>
      <c r="V12" s="182" t="s">
        <v>127</v>
      </c>
      <c r="W12" s="181" t="s">
        <v>42</v>
      </c>
      <c r="X12" s="181" t="s">
        <v>43</v>
      </c>
      <c r="Y12" s="182" t="s">
        <v>109</v>
      </c>
      <c r="Z12" s="186" t="s">
        <v>128</v>
      </c>
      <c r="AA12" s="184" t="s">
        <v>129</v>
      </c>
      <c r="AB12" s="181" t="s">
        <v>41</v>
      </c>
      <c r="AC12" s="182" t="s">
        <v>108</v>
      </c>
      <c r="AD12" s="182" t="s">
        <v>127</v>
      </c>
      <c r="AE12" s="181" t="s">
        <v>42</v>
      </c>
      <c r="AF12" s="181" t="s">
        <v>43</v>
      </c>
      <c r="AG12" s="182" t="s">
        <v>109</v>
      </c>
      <c r="AH12" s="186" t="s">
        <v>128</v>
      </c>
      <c r="AI12" s="191" t="s">
        <v>129</v>
      </c>
      <c r="AJ12" s="181" t="s">
        <v>41</v>
      </c>
      <c r="AK12" s="182" t="s">
        <v>108</v>
      </c>
      <c r="AL12" s="182" t="s">
        <v>127</v>
      </c>
      <c r="AM12" s="181" t="s">
        <v>42</v>
      </c>
      <c r="AN12" s="181" t="s">
        <v>43</v>
      </c>
      <c r="AO12" s="182" t="s">
        <v>109</v>
      </c>
      <c r="AP12" s="186" t="s">
        <v>128</v>
      </c>
      <c r="AQ12" s="191" t="s">
        <v>129</v>
      </c>
      <c r="AR12" s="181" t="s">
        <v>41</v>
      </c>
      <c r="AS12" s="182" t="s">
        <v>108</v>
      </c>
      <c r="AT12" s="182" t="s">
        <v>127</v>
      </c>
      <c r="AU12" s="181" t="s">
        <v>42</v>
      </c>
      <c r="AV12" s="181" t="s">
        <v>43</v>
      </c>
      <c r="AW12" s="182" t="s">
        <v>109</v>
      </c>
      <c r="AX12" s="186" t="s">
        <v>128</v>
      </c>
      <c r="AY12" s="191" t="s">
        <v>129</v>
      </c>
      <c r="AZ12" s="181" t="s">
        <v>41</v>
      </c>
      <c r="BA12" s="182" t="s">
        <v>108</v>
      </c>
      <c r="BB12" s="182" t="s">
        <v>127</v>
      </c>
      <c r="BC12" s="181" t="s">
        <v>42</v>
      </c>
      <c r="BD12" s="181" t="s">
        <v>43</v>
      </c>
      <c r="BE12" s="182" t="s">
        <v>109</v>
      </c>
      <c r="BF12" s="186" t="s">
        <v>128</v>
      </c>
      <c r="BG12" s="191" t="s">
        <v>129</v>
      </c>
      <c r="BH12" s="181" t="s">
        <v>41</v>
      </c>
      <c r="BI12" s="182" t="s">
        <v>108</v>
      </c>
      <c r="BJ12" s="182" t="s">
        <v>127</v>
      </c>
      <c r="BK12" s="181" t="s">
        <v>42</v>
      </c>
      <c r="BL12" s="181" t="s">
        <v>43</v>
      </c>
      <c r="BM12" s="182" t="s">
        <v>109</v>
      </c>
      <c r="BN12" s="186" t="s">
        <v>128</v>
      </c>
      <c r="BO12" s="191" t="s">
        <v>129</v>
      </c>
      <c r="BP12" s="181" t="s">
        <v>41</v>
      </c>
      <c r="BQ12" s="182" t="s">
        <v>108</v>
      </c>
      <c r="BR12" s="182" t="s">
        <v>127</v>
      </c>
      <c r="BS12" s="181" t="s">
        <v>42</v>
      </c>
      <c r="BT12" s="181" t="s">
        <v>43</v>
      </c>
      <c r="BU12" s="182" t="s">
        <v>109</v>
      </c>
      <c r="BV12" s="186" t="s">
        <v>128</v>
      </c>
      <c r="BW12" s="191" t="s">
        <v>129</v>
      </c>
      <c r="BX12" s="362"/>
    </row>
    <row r="13" spans="1:76" ht="12.75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0">
        <v>10</v>
      </c>
      <c r="K13" s="30">
        <v>11</v>
      </c>
      <c r="L13" s="30">
        <v>12</v>
      </c>
      <c r="M13" s="30">
        <v>13</v>
      </c>
      <c r="N13" s="30">
        <v>14</v>
      </c>
      <c r="O13" s="30">
        <v>15</v>
      </c>
      <c r="P13" s="30">
        <v>16</v>
      </c>
      <c r="Q13" s="30">
        <v>17</v>
      </c>
      <c r="R13" s="30">
        <v>18</v>
      </c>
      <c r="S13" s="30">
        <v>19</v>
      </c>
      <c r="T13" s="30">
        <v>20</v>
      </c>
      <c r="U13" s="30">
        <v>21</v>
      </c>
      <c r="V13" s="30">
        <v>22</v>
      </c>
      <c r="W13" s="30">
        <v>23</v>
      </c>
      <c r="X13" s="30">
        <v>24</v>
      </c>
      <c r="Y13" s="30">
        <v>25</v>
      </c>
      <c r="Z13" s="30">
        <v>26</v>
      </c>
      <c r="AA13" s="30">
        <v>27</v>
      </c>
      <c r="AB13" s="30">
        <v>28</v>
      </c>
      <c r="AC13" s="30">
        <v>29</v>
      </c>
      <c r="AD13" s="30">
        <v>30</v>
      </c>
      <c r="AE13" s="30">
        <v>31</v>
      </c>
      <c r="AF13" s="30">
        <v>32</v>
      </c>
      <c r="AG13" s="30">
        <v>33</v>
      </c>
      <c r="AH13" s="30">
        <v>34</v>
      </c>
      <c r="AI13" s="30">
        <v>35</v>
      </c>
      <c r="AJ13" s="30">
        <v>36</v>
      </c>
      <c r="AK13" s="30">
        <v>37</v>
      </c>
      <c r="AL13" s="30">
        <v>38</v>
      </c>
      <c r="AM13" s="30">
        <v>39</v>
      </c>
      <c r="AN13" s="30">
        <v>40</v>
      </c>
      <c r="AO13" s="30">
        <v>41</v>
      </c>
      <c r="AP13" s="30">
        <v>42</v>
      </c>
      <c r="AQ13" s="30">
        <v>43</v>
      </c>
      <c r="AR13" s="30">
        <v>44</v>
      </c>
      <c r="AS13" s="30">
        <v>45</v>
      </c>
      <c r="AT13" s="30">
        <v>46</v>
      </c>
      <c r="AU13" s="30">
        <v>47</v>
      </c>
      <c r="AV13" s="30">
        <v>48</v>
      </c>
      <c r="AW13" s="30">
        <v>49</v>
      </c>
      <c r="AX13" s="30">
        <v>50</v>
      </c>
      <c r="AY13" s="30">
        <v>51</v>
      </c>
      <c r="AZ13" s="30">
        <v>52</v>
      </c>
      <c r="BA13" s="30">
        <v>53</v>
      </c>
      <c r="BB13" s="30">
        <v>54</v>
      </c>
      <c r="BC13" s="30">
        <v>55</v>
      </c>
      <c r="BD13" s="30">
        <v>56</v>
      </c>
      <c r="BE13" s="30">
        <v>57</v>
      </c>
      <c r="BF13" s="30">
        <v>58</v>
      </c>
      <c r="BG13" s="30">
        <v>59</v>
      </c>
      <c r="BH13" s="30">
        <v>60</v>
      </c>
      <c r="BI13" s="30">
        <v>61</v>
      </c>
      <c r="BJ13" s="30">
        <v>62</v>
      </c>
      <c r="BK13" s="30">
        <v>63</v>
      </c>
      <c r="BL13" s="30">
        <v>64</v>
      </c>
      <c r="BM13" s="30">
        <v>65</v>
      </c>
      <c r="BN13" s="30">
        <v>66</v>
      </c>
      <c r="BO13" s="30">
        <v>67</v>
      </c>
      <c r="BP13" s="30">
        <v>68</v>
      </c>
      <c r="BQ13" s="30">
        <v>69</v>
      </c>
      <c r="BR13" s="30">
        <v>70</v>
      </c>
      <c r="BS13" s="30">
        <v>71</v>
      </c>
      <c r="BT13" s="30">
        <v>72</v>
      </c>
      <c r="BU13" s="30">
        <v>73</v>
      </c>
      <c r="BV13" s="30">
        <v>74</v>
      </c>
      <c r="BW13" s="30">
        <v>75</v>
      </c>
      <c r="BX13" s="30">
        <v>76</v>
      </c>
    </row>
    <row r="14" spans="1:77" ht="12.75">
      <c r="A14" s="33">
        <v>1</v>
      </c>
      <c r="B14" s="31" t="s">
        <v>13</v>
      </c>
      <c r="C14" s="14">
        <f aca="true" t="shared" si="0" ref="C14:C37">IF(D14&gt;0,1,0)</f>
        <v>1</v>
      </c>
      <c r="D14" s="2">
        <f>T14+AB14+AJ14+AR14+AZ14+BH14+BP14</f>
        <v>32</v>
      </c>
      <c r="E14" s="2">
        <f>U14+AC14+AK14+AS14+BA14+BI14+BQ14</f>
        <v>0</v>
      </c>
      <c r="F14" s="2">
        <f>V14+AD14+AL14+AT14+BB14+BJ14+BR14</f>
        <v>0</v>
      </c>
      <c r="G14" s="2">
        <f>IF(SUM(W14,AE14,AM14,AU14,BC14,BK14,BS14)&lt;&gt;COUNTIF(Английский_язык!$N$1:$N$995,"Призер"),"Ошибка",SUM(W14,AE14,AM14,AU14,BC14,BK14,BS14))</f>
        <v>3</v>
      </c>
      <c r="H14" s="2">
        <f>IF(SUM(X14,AF14,AN14,AV14,BD14,BL14,BT14)&lt;&gt;COUNTIF(Английский_язык!$N$1:$N$995,"Победитель"),"Ошибка",SUM(X14,AF14,AN14,AV14,BD14,BL14,BT14))</f>
        <v>1</v>
      </c>
      <c r="I14" s="2">
        <f>Y14+AG14+AO14+AW14+BE14+BM14+BU14</f>
        <v>0</v>
      </c>
      <c r="J14" s="2">
        <f>Z14+AH14+AP14+AX14+BF14+BN14+BV14</f>
        <v>0</v>
      </c>
      <c r="K14" s="2">
        <f>AA14+AI14+AQ14+AY14+BG14+BO14+BW14</f>
        <v>0</v>
      </c>
      <c r="L14" s="2"/>
      <c r="M14" s="2"/>
      <c r="N14" s="2"/>
      <c r="O14" s="2"/>
      <c r="P14" s="2"/>
      <c r="Q14" s="2"/>
      <c r="R14" s="2"/>
      <c r="S14" s="2"/>
      <c r="T14" s="2">
        <f>COUNTIF(Английский_язык!$H$1:$H$995,5)</f>
        <v>4</v>
      </c>
      <c r="U14" s="161">
        <f>_xlfn.COUNTIFS(Английский_язык!$H$1:$H$995,5,Английский_язык!$G$1:$G$995,"&lt;5")</f>
        <v>0</v>
      </c>
      <c r="V14" s="161">
        <f>_xlfn.COUNTIFS(Английский_язык!$H$1:$H$995,5,Английский_язык!$J$1:$J$995,"имеются")</f>
        <v>0</v>
      </c>
      <c r="W14" s="2">
        <f>_xlfn.COUNTIFS(Английский_язык!$H$1:$H$995,5,Английский_язык!$N$1:$N$995,"Призер")</f>
        <v>0</v>
      </c>
      <c r="X14" s="2">
        <f>_xlfn.COUNTIFS(Английский_язык!$H$1:$H$995,5,Английский_язык!$N$1:$N$995,"Победитель")</f>
        <v>0</v>
      </c>
      <c r="Y14" s="2">
        <f>_xlfn.COUNTIFS(Английский_язык!$H$1:$H$995,5,Английский_язык!$N$1:$N$995,"Победитель",Английский_язык!$M$1:$M$995,"100%")</f>
        <v>0</v>
      </c>
      <c r="Z14" s="2">
        <f>_xlfn.COUNTIFS(Английский_язык!$H$1:$H$995,5,Английский_язык!$N$1:$N$995,"Призер",Английский_язык!$J$1:$J$995,"имеются")</f>
        <v>0</v>
      </c>
      <c r="AA14" s="2">
        <f>_xlfn.COUNTIFS(Английский_язык!$H$1:$H$995,5,Английский_язык!$N$1:$N$995,"Победитель",Английский_язык!$J$1:$J$995,"имеются")</f>
        <v>0</v>
      </c>
      <c r="AB14" s="2">
        <f>COUNTIF(Английский_язык!$H$1:$H$995,6)</f>
        <v>0</v>
      </c>
      <c r="AC14" s="161">
        <f>_xlfn.COUNTIFS(Английский_язык!$H$1:$H$995,6,Английский_язык!$G$1:$G$995,"&lt;6")</f>
        <v>0</v>
      </c>
      <c r="AD14" s="161">
        <f>_xlfn.COUNTIFS(Английский_язык!$H$1:$H$995,6,Английский_язык!$J$1:$J$995,"имеются")</f>
        <v>0</v>
      </c>
      <c r="AE14" s="2">
        <f>_xlfn.COUNTIFS(Английский_язык!$H$1:$H$995,6,Английский_язык!$N$1:$N$995,"Призер")</f>
        <v>0</v>
      </c>
      <c r="AF14" s="2">
        <f>_xlfn.COUNTIFS(Английский_язык!$H$1:$H$995,6,Английский_язык!$N$1:$N$995,"Победитель")</f>
        <v>0</v>
      </c>
      <c r="AG14" s="2">
        <f>_xlfn.COUNTIFS(Английский_язык!$H$1:$H$995,6,Английский_язык!$N$1:$N$995,"Победитель",Английский_язык!$M$1:$M$995,"100%")</f>
        <v>0</v>
      </c>
      <c r="AH14" s="2">
        <f>_xlfn.COUNTIFS(Английский_язык!$H$1:$H$995,6,Английский_язык!$N$1:$N$995,"Призер",Английский_язык!$J$1:$J$995,"имеются")</f>
        <v>0</v>
      </c>
      <c r="AI14" s="2">
        <f>_xlfn.COUNTIFS(Английский_язык!$H$1:$H$995,6,Английский_язык!$N$1:$N$995,"Победитель",Английский_язык!$J$1:$J$995,"имеются")</f>
        <v>0</v>
      </c>
      <c r="AJ14" s="2">
        <f>COUNTIF(Английский_язык!$H$1:$H$995,7)</f>
        <v>12</v>
      </c>
      <c r="AK14" s="161">
        <f>_xlfn.COUNTIFS(Английский_язык!$H$1:$H$995,7,Английский_язык!$G$1:$G$995,"&lt;7")</f>
        <v>0</v>
      </c>
      <c r="AL14" s="161">
        <f>_xlfn.COUNTIFS(Английский_язык!$H$1:$H$995,7,Английский_язык!$J$1:$J$995,"имеются")</f>
        <v>0</v>
      </c>
      <c r="AM14" s="2">
        <f>_xlfn.COUNTIFS(Английский_язык!$H$1:$H$995,7,Английский_язык!$N$1:$N$995,"Призер")</f>
        <v>1</v>
      </c>
      <c r="AN14" s="2">
        <f>_xlfn.COUNTIFS(Английский_язык!$H$1:$H$995,7,Английский_язык!$N$1:$N$995,"Победитель")</f>
        <v>0</v>
      </c>
      <c r="AO14" s="2">
        <f>_xlfn.COUNTIFS(Английский_язык!$H$1:$H$995,7,Английский_язык!$N$1:$N$995,"Победитель",Английский_язык!$M$1:$M$995,"100%")</f>
        <v>0</v>
      </c>
      <c r="AP14" s="2">
        <f>_xlfn.COUNTIFS(Английский_язык!$H$1:$H$995,7,Английский_язык!$N$1:$N$995,"Призер",Английский_язык!$J$1:$J$995,"имеются")</f>
        <v>0</v>
      </c>
      <c r="AQ14" s="2">
        <f>_xlfn.COUNTIFS(Английский_язык!$H$1:$H$995,7,Английский_язык!$N$1:$N$995,"Победитель",Английский_язык!$J$1:$J$995,"имеются")</f>
        <v>0</v>
      </c>
      <c r="AR14" s="2">
        <f>COUNTIF(Английский_язык!$H$1:$H$995,8)</f>
        <v>2</v>
      </c>
      <c r="AS14" s="161">
        <f>_xlfn.COUNTIFS(Английский_язык!$H$1:$H$995,8,Английский_язык!$G$1:$G$995,"&lt;8")</f>
        <v>0</v>
      </c>
      <c r="AT14" s="161">
        <f>_xlfn.COUNTIFS(Английский_язык!$H$1:$H$995,8,Английский_язык!$J$1:$J$995,"имеются")</f>
        <v>0</v>
      </c>
      <c r="AU14" s="2">
        <f>_xlfn.COUNTIFS(Английский_язык!$H$1:$H$995,8,Английский_язык!$N$1:$N$995,"Призер")</f>
        <v>0</v>
      </c>
      <c r="AV14" s="2">
        <f>_xlfn.COUNTIFS(Английский_язык!$H$1:$H$995,8,Английский_язык!$N$1:$N$995,"Победитель")</f>
        <v>0</v>
      </c>
      <c r="AW14" s="2">
        <f>_xlfn.COUNTIFS(Английский_язык!$H$1:$H$995,8,Английский_язык!$N$1:$N$995,"Победитель",Английский_язык!$M$1:$M$995,"100%")</f>
        <v>0</v>
      </c>
      <c r="AX14" s="2">
        <f>_xlfn.COUNTIFS(Английский_язык!$H$1:$H$995,8,Английский_язык!$N$1:$N$995,"Призер",Английский_язык!$J$1:$J$995,"имеются")</f>
        <v>0</v>
      </c>
      <c r="AY14" s="2">
        <f>_xlfn.COUNTIFS(Английский_язык!$H$1:$H$995,8,Английский_язык!$N$1:$N$995,"Победитель",Английский_язык!$J$1:$J$995,"имеются")</f>
        <v>0</v>
      </c>
      <c r="AZ14" s="2">
        <f>COUNTIF(Английский_язык!$H$1:$H$995,9)</f>
        <v>4</v>
      </c>
      <c r="BA14" s="161">
        <f>_xlfn.COUNTIFS(Английский_язык!$H$1:$H$995,9,Английский_язык!$G$1:$G$995,"&lt;9")</f>
        <v>0</v>
      </c>
      <c r="BB14" s="161">
        <f>_xlfn.COUNTIFS(Английский_язык!$H$1:$H$995,9,Английский_язык!$J$1:$J$995,"имеются")</f>
        <v>0</v>
      </c>
      <c r="BC14" s="2">
        <f>_xlfn.COUNTIFS(Английский_язык!$H$1:$H$995,9,Английский_язык!$N$1:$N$995,"Призер")</f>
        <v>1</v>
      </c>
      <c r="BD14" s="2">
        <f>_xlfn.COUNTIFS(Английский_язык!$H$1:$H$995,9,Английский_язык!$N$1:$N$995,"Победитель")</f>
        <v>0</v>
      </c>
      <c r="BE14" s="2">
        <f>_xlfn.COUNTIFS(Английский_язык!$H$1:$H$995,9,Английский_язык!$N$1:$N$995,"Победитель",Английский_язык!$M$1:$M$995,"100%")</f>
        <v>0</v>
      </c>
      <c r="BF14" s="2">
        <f>_xlfn.COUNTIFS(Английский_язык!$H$1:$H$995,9,Английский_язык!$N$1:$N$995,"Призер",Английский_язык!$J$1:$J$995,"имеются")</f>
        <v>0</v>
      </c>
      <c r="BG14" s="2">
        <f>_xlfn.COUNTIFS(Английский_язык!$H$1:$H$995,9,Английский_язык!$N$1:$N$995,"Победитель",Английский_язык!$J$1:$J$995,"имеются")</f>
        <v>0</v>
      </c>
      <c r="BH14" s="2">
        <f>COUNTIF(Английский_язык!$H$1:$H$995,10)</f>
        <v>5</v>
      </c>
      <c r="BI14" s="161">
        <f>_xlfn.COUNTIFS(Английский_язык!$H$1:$H$995,10,Английский_язык!$G$1:$G$995,"&lt;10")</f>
        <v>0</v>
      </c>
      <c r="BJ14" s="161">
        <f>_xlfn.COUNTIFS(Английский_язык!$H$1:$H$995,10,Английский_язык!$J$1:$J$995,"имеются")</f>
        <v>0</v>
      </c>
      <c r="BK14" s="2">
        <f>_xlfn.COUNTIFS(Английский_язык!$H$1:$H$995,10,Английский_язык!$N$1:$N$995,"Призер")</f>
        <v>0</v>
      </c>
      <c r="BL14" s="2">
        <f>_xlfn.COUNTIFS(Английский_язык!$H$1:$H$995,10,Английский_язык!$N$1:$N$995,"Победитель")</f>
        <v>0</v>
      </c>
      <c r="BM14" s="2">
        <f>_xlfn.COUNTIFS(Английский_язык!$H$1:$H$995,10,Английский_язык!$N$1:$N$995,"Победитель",Английский_язык!$M$1:$M$995,"100%")</f>
        <v>0</v>
      </c>
      <c r="BN14" s="2">
        <f>_xlfn.COUNTIFS(Английский_язык!$H$1:$H$995,10,Английский_язык!$N$1:$N$995,"Призер",Английский_язык!$J$1:$J$995,"имеются")</f>
        <v>0</v>
      </c>
      <c r="BO14" s="2">
        <f>_xlfn.COUNTIFS(Английский_язык!$H$1:$H$995,10,Английский_язык!$N$1:$N$995,"Победитель",Английский_язык!$J$1:$J$995,"имеются")</f>
        <v>0</v>
      </c>
      <c r="BP14" s="2">
        <f>COUNTIF(Английский_язык!$H$1:$H$995,11)</f>
        <v>5</v>
      </c>
      <c r="BQ14" s="161">
        <f>_xlfn.COUNTIFS(Английский_язык!$H$1:$H$995,11,Английский_язык!$G$1:$G$995,"&lt;11")</f>
        <v>0</v>
      </c>
      <c r="BR14" s="161">
        <f>_xlfn.COUNTIFS(Английский_язык!$H$1:$H$995,11,Английский_язык!$J$1:$J$995,"имеются")</f>
        <v>0</v>
      </c>
      <c r="BS14" s="2">
        <f>_xlfn.COUNTIFS(Английский_язык!$H$1:$H$995,11,Английский_язык!$N$1:$N$995,"Призер")</f>
        <v>1</v>
      </c>
      <c r="BT14" s="2">
        <f>_xlfn.COUNTIFS(Английский_язык!$H$1:$H$995,11,Английский_язык!$N$1:$N$995,"Победитель")</f>
        <v>1</v>
      </c>
      <c r="BU14" s="2">
        <f>_xlfn.COUNTIFS(Английский_язык!$H$1:$H$995,11,Английский_язык!$N$1:$N$995,"Победитель",Английский_язык!$M$1:$M$995,"100%")</f>
        <v>0</v>
      </c>
      <c r="BV14" s="2">
        <f>_xlfn.COUNTIFS(Английский_язык!$H$1:$H$995,11,Английский_язык!$N$1:$N$995,"Призер",Английский_язык!$J$1:$J$995,"имеются")</f>
        <v>0</v>
      </c>
      <c r="BW14" s="2">
        <f>_xlfn.COUNTIFS(Английский_язык!$H$1:$H$995,11,Английский_язык!$N$1:$N$995,"Победитель",Английский_язык!$J$1:$J$995,"имеются")</f>
        <v>0</v>
      </c>
      <c r="BX14" s="97">
        <f>(G14+H14)/D14</f>
        <v>0.125</v>
      </c>
      <c r="BY14" s="2">
        <f>IF(Английский_язык!S1=1,"Нет даты рождения","")</f>
      </c>
    </row>
    <row r="15" spans="1:77" ht="12.75">
      <c r="A15" s="33">
        <v>2</v>
      </c>
      <c r="B15" s="31" t="s">
        <v>19</v>
      </c>
      <c r="C15" s="14">
        <f t="shared" si="0"/>
        <v>1</v>
      </c>
      <c r="D15" s="2">
        <f aca="true" t="shared" si="1" ref="D15:D24">T15+AB15+AJ15+AR15+AZ15+BH15+BP15</f>
        <v>3</v>
      </c>
      <c r="E15" s="2">
        <f aca="true" t="shared" si="2" ref="E15:E24">U15+AC15+AK15+AS15+BA15+BI15+BQ15</f>
        <v>0</v>
      </c>
      <c r="F15" s="2">
        <f aca="true" t="shared" si="3" ref="F15:F37">V15+AD15+AL15+AT15+BB15+BJ15+BR15</f>
        <v>0</v>
      </c>
      <c r="G15" s="2">
        <f>IF(SUM(W15,AE15,AM15,AU15,BC15,BK15,BS15)&lt;&gt;COUNTIF(Астрономия!$N$1:$N$1000,"Призер"),"Ошибка",SUM(W15,AE15,AM15,AU15,BC15,BK15,BS15))</f>
        <v>0</v>
      </c>
      <c r="H15" s="2">
        <f>IF(SUM(X15,AF15,AN15,AV15,BD15,BL15,BT15)&lt;&gt;COUNTIF(Астрономия!$N$1:$N$1000,"Победитель"),"Ошибка",SUM(X15,AF15,AN15,AV15,BD15,BL15,BT15))</f>
        <v>0</v>
      </c>
      <c r="I15" s="2">
        <f aca="true" t="shared" si="4" ref="I15:I24">Y15+AG15+AO15+AW15+BE15+BM15+BU15</f>
        <v>0</v>
      </c>
      <c r="J15" s="2">
        <f aca="true" t="shared" si="5" ref="J15:J25">Z15+AH15+AP15+AX15+BF15+BN15+BV15</f>
        <v>0</v>
      </c>
      <c r="K15" s="2">
        <f aca="true" t="shared" si="6" ref="K15:K26">AA15+AI15+AQ15+AY15+BG15+BO15+BW15</f>
        <v>0</v>
      </c>
      <c r="L15" s="2"/>
      <c r="M15" s="2"/>
      <c r="N15" s="2"/>
      <c r="O15" s="2"/>
      <c r="P15" s="2"/>
      <c r="Q15" s="2"/>
      <c r="R15" s="2"/>
      <c r="S15" s="2"/>
      <c r="T15" s="2">
        <f>COUNTIF(Астрономия!$H$1:$H$1000,5)</f>
        <v>0</v>
      </c>
      <c r="U15" s="161">
        <f>_xlfn.COUNTIFS(Астрономия!$H$1:$H$1000,5,Астрономия!$G$1:$G$1000,"&lt;5")</f>
        <v>0</v>
      </c>
      <c r="V15" s="161">
        <f>_xlfn.COUNTIFS(Астрономия!$H$1:$H$1000,5,Астрономия!$J$1:$J$1000,"имеются")</f>
        <v>0</v>
      </c>
      <c r="W15" s="2">
        <f>_xlfn.COUNTIFS(Астрономия!$H$1:$H$1000,5,Астрономия!$N$1:$N$1000,"Призер")</f>
        <v>0</v>
      </c>
      <c r="X15" s="2">
        <f>_xlfn.COUNTIFS(Астрономия!$H$1:$H$1000,5,Астрономия!$N$1:$N$1000,"Победитель")</f>
        <v>0</v>
      </c>
      <c r="Y15" s="2">
        <f>_xlfn.COUNTIFS(Астрономия!$H$1:$H$1000,5,Астрономия!$N$1:$N$1000,"Победитель",Астрономия!$M$1:$M$1000,"100%")</f>
        <v>0</v>
      </c>
      <c r="Z15" s="2">
        <f>_xlfn.COUNTIFS(Астрономия!$H$1:$H$1000,5,Астрономия!$N$1:$N$1000,"Призер",Астрономия!$J$1:$J$1000,"имеются")</f>
        <v>0</v>
      </c>
      <c r="AA15" s="2">
        <f>_xlfn.COUNTIFS(Астрономия!$H$1:$H$1000,5,Астрономия!$N$1:$N$1000,"Победитель",Астрономия!$J$1:$J$1000,"имеются")</f>
        <v>0</v>
      </c>
      <c r="AB15" s="2">
        <f>_xlfn.COUNTIFS(Астрономия!$H$1:$H$1000,6)</f>
        <v>0</v>
      </c>
      <c r="AC15" s="161">
        <f>_xlfn.COUNTIFS(Астрономия!$H$1:$H$1000,6,Астрономия!$G$1:$G$1000,"&lt;6")</f>
        <v>0</v>
      </c>
      <c r="AD15" s="161">
        <f>_xlfn.COUNTIFS(Астрономия!$H$1:$H$1000,6,Астрономия!$J$1:$J$1000,"имеются")</f>
        <v>0</v>
      </c>
      <c r="AE15" s="2">
        <f>_xlfn.COUNTIFS(Астрономия!$H$1:$H$1000,6,Астрономия!$N$1:$N$1000,"Призер")</f>
        <v>0</v>
      </c>
      <c r="AF15" s="2">
        <f>_xlfn.COUNTIFS(Астрономия!$H$1:$H$1000,6,Астрономия!$N$1:$N$1000,"Победитель")</f>
        <v>0</v>
      </c>
      <c r="AG15" s="2">
        <f>_xlfn.COUNTIFS(Астрономия!$H$1:$H$1000,6,Астрономия!$N$1:$N$1000,"Победитель",Астрономия!$M$1:$M$1000,"100%")</f>
        <v>0</v>
      </c>
      <c r="AH15" s="2">
        <f>_xlfn.COUNTIFS(Астрономия!$H$1:$H$1000,6,Астрономия!$N$1:$N$1000,"Призер",Астрономия!$J$1:$J$1000,"имеются")</f>
        <v>0</v>
      </c>
      <c r="AI15" s="2">
        <f>_xlfn.COUNTIFS(Астрономия!$H$1:$H$1000,6,Астрономия!$N$1:$N$1000,"Победитель",Астрономия!$J$1:$J$1000,"имеются")</f>
        <v>0</v>
      </c>
      <c r="AJ15" s="2">
        <f>COUNTIF(Астрономия!$H$1:$H$1000,7)</f>
        <v>0</v>
      </c>
      <c r="AK15" s="161">
        <f>_xlfn.COUNTIFS(Астрономия!$H$1:$H$1000,7,Астрономия!$G$1:$G$1000,"&lt;7")</f>
        <v>0</v>
      </c>
      <c r="AL15" s="161">
        <f>_xlfn.COUNTIFS(Астрономия!$H$1:$H$1000,7,Астрономия!$J$1:$J$1000,"имеются")</f>
        <v>0</v>
      </c>
      <c r="AM15" s="2">
        <f>_xlfn.COUNTIFS(Астрономия!$H$1:$H$1000,7,Астрономия!$N$1:$N$1000,"Призер")</f>
        <v>0</v>
      </c>
      <c r="AN15" s="2">
        <f>_xlfn.COUNTIFS(Астрономия!$H$1:$H$1000,7,Астрономия!$N$1:$N$1000,"Победитель")</f>
        <v>0</v>
      </c>
      <c r="AO15" s="2">
        <f>_xlfn.COUNTIFS(Астрономия!$H$1:$H$1000,7,Астрономия!$N$1:$N$1000,"Победитель",Астрономия!$M$1:$M$1000,"100%")</f>
        <v>0</v>
      </c>
      <c r="AP15" s="2">
        <f>_xlfn.COUNTIFS(Астрономия!$H$1:$H$1000,7,Астрономия!$N$1:$N$1000,"Призер",Астрономия!$J$1:$J$1000,"имеются")</f>
        <v>0</v>
      </c>
      <c r="AQ15" s="2">
        <f>_xlfn.COUNTIFS(Астрономия!$H$1:$H$1000,7,Астрономия!$N$1:$N$1000,"Победитель",Астрономия!$J$1:$J$1000,"имеются")</f>
        <v>0</v>
      </c>
      <c r="AR15" s="2">
        <f>COUNTIF(Астрономия!$H$1:$H$1000,8)</f>
        <v>0</v>
      </c>
      <c r="AS15" s="161">
        <f>_xlfn.COUNTIFS(Астрономия!$H$1:$H$1000,8,Астрономия!$G$1:$G$1000,"&lt;8")</f>
        <v>0</v>
      </c>
      <c r="AT15" s="161">
        <f>_xlfn.COUNTIFS(Астрономия!$H$1:$H$1000,8,Астрономия!$J$1:$J$1000,"имеются")</f>
        <v>0</v>
      </c>
      <c r="AU15" s="2">
        <f>_xlfn.COUNTIFS(Астрономия!$H$1:$H$1000,8,Астрономия!$N$1:$N$1000,"Призер")</f>
        <v>0</v>
      </c>
      <c r="AV15" s="2">
        <f>_xlfn.COUNTIFS(Астрономия!$H$1:$H$1000,8,Астрономия!$N$1:$N$1000,"Победитель")</f>
        <v>0</v>
      </c>
      <c r="AW15" s="2">
        <f>_xlfn.COUNTIFS(Астрономия!$H$1:$H$1000,8,Астрономия!$N$1:$N$1000,"Победитель",Астрономия!$M$1:$M$1000,"100%")</f>
        <v>0</v>
      </c>
      <c r="AX15" s="2">
        <f>_xlfn.COUNTIFS(Астрономия!$H$1:$H$1000,8,Астрономия!$N$1:$N$1000,"Призер",Астрономия!$J$1:$J$1000,"имеются")</f>
        <v>0</v>
      </c>
      <c r="AY15" s="2">
        <f>_xlfn.COUNTIFS(Астрономия!$H$1:$H$1000,8,Астрономия!$N$1:$N$1000,"Победитель",Астрономия!$J$1:$J$1000,"имеются")</f>
        <v>0</v>
      </c>
      <c r="AZ15" s="2">
        <f>COUNTIF(Астрономия!$H$1:$H$1000,9)</f>
        <v>0</v>
      </c>
      <c r="BA15" s="161">
        <f>_xlfn.COUNTIFS(Астрономия!$H$1:$H$1000,9,Астрономия!$G$1:$G$1000,"&lt;9")</f>
        <v>0</v>
      </c>
      <c r="BB15" s="161">
        <f>_xlfn.COUNTIFS(Астрономия!$H$1:$H$1000,9,Астрономия!$J$1:$J$1000,"имеются")</f>
        <v>0</v>
      </c>
      <c r="BC15" s="2">
        <f>_xlfn.COUNTIFS(Астрономия!$H$1:$H$1000,9,Астрономия!$N$1:$N$1000,"Призер")</f>
        <v>0</v>
      </c>
      <c r="BD15" s="2">
        <f>_xlfn.COUNTIFS(Астрономия!$H$1:$H$1000,9,Астрономия!$N$1:$N$1000,"Победитель")</f>
        <v>0</v>
      </c>
      <c r="BE15" s="2">
        <f>_xlfn.COUNTIFS(Астрономия!$H$1:$H$1000,9,Астрономия!$N$1:$N$1000,"Победитель",Астрономия!$M$1:$M$1000,"100%")</f>
        <v>0</v>
      </c>
      <c r="BF15" s="2">
        <f>_xlfn.COUNTIFS(Астрономия!$H$1:$H$1000,9,Астрономия!$N$1:$N$1000,"Призер",Астрономия!$J$1:$J$1000,"имеются")</f>
        <v>0</v>
      </c>
      <c r="BG15" s="2">
        <f>_xlfn.COUNTIFS(Астрономия!$H$1:$H$1000,9,Астрономия!$N$1:$N$1000,"Победитель",Астрономия!$J$1:$J$1000,"имеются")</f>
        <v>0</v>
      </c>
      <c r="BH15" s="2">
        <f>COUNTIF(Астрономия!$H$1:$H$1000,10)</f>
        <v>3</v>
      </c>
      <c r="BI15" s="161">
        <f>_xlfn.COUNTIFS(Астрономия!$H$1:$H$1000,10,Астрономия!$G$1:$G$1000,"&lt;10")</f>
        <v>0</v>
      </c>
      <c r="BJ15" s="161">
        <f>_xlfn.COUNTIFS(Астрономия!$H$1:$H$1000,10,Астрономия!$J$1:$J$1000,"имеются")</f>
        <v>0</v>
      </c>
      <c r="BK15" s="2">
        <f>_xlfn.COUNTIFS(Астрономия!$H$1:$H$1000,10,Астрономия!$N$1:$N$1000,"Призер")</f>
        <v>0</v>
      </c>
      <c r="BL15" s="2">
        <f>_xlfn.COUNTIFS(Астрономия!$H$1:$H$1000,10,Астрономия!$N$1:$N$1000,"Победитель")</f>
        <v>0</v>
      </c>
      <c r="BM15" s="2">
        <f>_xlfn.COUNTIFS(Астрономия!$H$1:$H$1000,10,Астрономия!$N$1:$N$1000,"Победитель",Астрономия!$M$1:$M$1000,"100%")</f>
        <v>0</v>
      </c>
      <c r="BN15" s="2">
        <f>_xlfn.COUNTIFS(Астрономия!$H$1:$H$1000,10,Астрономия!$N$1:$N$1000,"Призер",Астрономия!$J$1:$J$1000,"имеются")</f>
        <v>0</v>
      </c>
      <c r="BO15" s="2">
        <f>_xlfn.COUNTIFS(Астрономия!$H$1:$H$1000,10,Астрономия!$N$1:$N$1000,"Победитель",Астрономия!$J$1:$J$1000,"имеются")</f>
        <v>0</v>
      </c>
      <c r="BP15" s="2">
        <f>COUNTIF(Астрономия!$H$1:$H$1000,11)</f>
        <v>0</v>
      </c>
      <c r="BQ15" s="161">
        <f>_xlfn.COUNTIFS(Астрономия!$H$1:$H$1000,11,Астрономия!$G$1:$G$1000,"&lt;11")</f>
        <v>0</v>
      </c>
      <c r="BR15" s="161">
        <f>_xlfn.COUNTIFS(Астрономия!$H$1:$H$1000,11,Астрономия!$J$1:$J$1000,"имеются")</f>
        <v>0</v>
      </c>
      <c r="BS15" s="2">
        <f>_xlfn.COUNTIFS(Астрономия!$H$1:$H$1000,11,Астрономия!$N$1:$N$1000,"Призер")</f>
        <v>0</v>
      </c>
      <c r="BT15" s="2">
        <f>_xlfn.COUNTIFS(Астрономия!$H$1:$H$1000,11,Астрономия!$N$1:$N$1000,"Победитель")</f>
        <v>0</v>
      </c>
      <c r="BU15" s="2">
        <f>_xlfn.COUNTIFS(Астрономия!$H$1:$H$1000,11,Астрономия!$N$1:$N$1000,"Победитель",Астрономия!$M$1:$M$1000,"100%")</f>
        <v>0</v>
      </c>
      <c r="BV15" s="2">
        <f>_xlfn.COUNTIFS(Астрономия!$H$1:$H$1000,11,Астрономия!$N$1:$N$1000,"Призер",Астрономия!$J$1:$J$1000,"имеются")</f>
        <v>0</v>
      </c>
      <c r="BW15" s="2">
        <f>_xlfn.COUNTIFS(Астрономия!$H$1:$H$1000,11,Астрономия!$N$1:$N$1000,"Победитель",Астрономия!$J$1:$J$1000,"имеются")</f>
        <v>0</v>
      </c>
      <c r="BX15" s="97">
        <f>(G15+H15)/D15</f>
        <v>0</v>
      </c>
      <c r="BY15" s="301">
        <f>IF(Астрономия!$S$1="1","Нет даты рождения","")</f>
      </c>
    </row>
    <row r="16" spans="1:77" ht="12.75">
      <c r="A16" s="33">
        <v>3</v>
      </c>
      <c r="B16" s="31" t="s">
        <v>12</v>
      </c>
      <c r="C16" s="14">
        <f t="shared" si="0"/>
        <v>1</v>
      </c>
      <c r="D16" s="2">
        <f t="shared" si="1"/>
        <v>17</v>
      </c>
      <c r="E16" s="2">
        <f t="shared" si="2"/>
        <v>0</v>
      </c>
      <c r="F16" s="2">
        <f t="shared" si="3"/>
        <v>0</v>
      </c>
      <c r="G16" s="2">
        <f>IF(SUM(W16,AE16,AM16,AU16,BC16,BK16,BS16)&lt;&gt;COUNTIF(Биология!$N$1:$N$1000,"Призер"),"Ошибка",SUM(W16,AE16,AM16,AU16,BC16,BK16,BS16))</f>
        <v>4</v>
      </c>
      <c r="H16" s="2">
        <f>IF(SUM(X16,AF16,AN16,AV16,BD16,BL16,BT16)&lt;&gt;COUNTIF(Биология!$N$1:$N$1000,"Победитель"),"Ошибка",SUM(X16,AF16,AN16,AV16,BD16,BL16,BT16))</f>
        <v>1</v>
      </c>
      <c r="I16" s="2">
        <f t="shared" si="4"/>
        <v>0</v>
      </c>
      <c r="J16" s="2">
        <f t="shared" si="5"/>
        <v>0</v>
      </c>
      <c r="K16" s="2">
        <f t="shared" si="6"/>
        <v>0</v>
      </c>
      <c r="L16" s="2"/>
      <c r="M16" s="2"/>
      <c r="N16" s="2"/>
      <c r="O16" s="2"/>
      <c r="P16" s="2"/>
      <c r="Q16" s="2"/>
      <c r="R16" s="2"/>
      <c r="S16" s="2"/>
      <c r="T16" s="2">
        <f>COUNTIF(Биология!$H$1:$H$1000,5)</f>
        <v>4</v>
      </c>
      <c r="U16" s="161">
        <f>_xlfn.COUNTIFS(Биология!$H$1:$H$1000,5,Биология!$G$1:$G$1000,"&lt;5")</f>
        <v>0</v>
      </c>
      <c r="V16" s="161">
        <f>_xlfn.COUNTIFS(Биология!$H$1:$H$1000,5,Биология!$J$1:$J$1000,"имеются")</f>
        <v>0</v>
      </c>
      <c r="W16" s="2">
        <f>_xlfn.COUNTIFS(Биология!$H$1:$H$1000,5,Биология!$N$1:$N$1000,"Призер")</f>
        <v>1</v>
      </c>
      <c r="X16" s="2">
        <f>_xlfn.COUNTIFS(Биология!$H$1:$H$1000,5,Биология!$N$1:$N$1000,"Победитель")</f>
        <v>0</v>
      </c>
      <c r="Y16" s="2">
        <f>_xlfn.COUNTIFS(Биология!$H$1:$H$1000,5,Биология!$N$1:$N$1000,"Победитель",Биология!$M$1:$M$1000,"100%")</f>
        <v>0</v>
      </c>
      <c r="Z16" s="2">
        <f>_xlfn.COUNTIFS(Биология!$H$1:$H$1000,5,Биология!$N$1:$N$1000,"Призер",Биология!$J$1:$J$1000,"имеются")</f>
        <v>0</v>
      </c>
      <c r="AA16" s="2">
        <f>_xlfn.COUNTIFS(Биология!$H$1:$H$1000,5,Биология!$N$1:$N$1000,"Победитель",Биология!$J$1:$J$1000,"имеются")</f>
        <v>0</v>
      </c>
      <c r="AB16" s="2">
        <f>COUNTIF(Биология!$H$1:$H$1000,6)</f>
        <v>0</v>
      </c>
      <c r="AC16" s="161">
        <f>_xlfn.COUNTIFS(Биология!$H$1:$H$1000,6,Биология!$G$1:$G$1000,"&lt;6")</f>
        <v>0</v>
      </c>
      <c r="AD16" s="161">
        <f>_xlfn.COUNTIFS(Биология!$H$1:$H$1000,6,Биология!$J$1:$J$1000,"имеются")</f>
        <v>0</v>
      </c>
      <c r="AE16" s="2">
        <f>_xlfn.COUNTIFS(Биология!$H$1:$H$1000,6,Биология!$N$1:$N$1000,"Призер")</f>
        <v>0</v>
      </c>
      <c r="AF16" s="2">
        <f>_xlfn.COUNTIFS(Биология!$H$1:$H$1000,6,Биология!$N$1:$N$1000,"Победитель")</f>
        <v>0</v>
      </c>
      <c r="AG16" s="2">
        <f>_xlfn.COUNTIFS(Биология!$H$1:$H$1000,6,Биология!$N$1:$N$1000,"Победитель",Биология!$M$1:$M$1000,"100%")</f>
        <v>0</v>
      </c>
      <c r="AH16" s="2">
        <f>_xlfn.COUNTIFS(Биология!$H$1:$H$1000,6,Биология!$N$1:$N$1000,"Призер",Биология!$J$1:$J$1000,"имеются")</f>
        <v>0</v>
      </c>
      <c r="AI16" s="2">
        <f>_xlfn.COUNTIFS(Биология!$H$1:$H$1000,6,Биология!$N$1:$N$1000,"Победитель",Биология!$J$1:$J$1000,"имеются")</f>
        <v>0</v>
      </c>
      <c r="AJ16" s="2">
        <f>COUNTIF(Биология!$H$1:$H$1000,7)</f>
        <v>5</v>
      </c>
      <c r="AK16" s="161">
        <f>_xlfn.COUNTIFS(Биология!$H$1:$H$1000,7,Биология!$G$1:$G$1000,"&lt;7")</f>
        <v>0</v>
      </c>
      <c r="AL16" s="161">
        <f>_xlfn.COUNTIFS(Биология!$H$1:$H$1000,7,Биология!$J$1:$J$1000,"имеются")</f>
        <v>0</v>
      </c>
      <c r="AM16" s="2">
        <f>_xlfn.COUNTIFS(Биология!$H$1:$H$1000,7,Биология!$N$1:$N$1000,"Призер")</f>
        <v>1</v>
      </c>
      <c r="AN16" s="2">
        <f>_xlfn.COUNTIFS(Биология!$H$1:$H$1000,7,Биология!$N$1:$N$1000,"Победитель")</f>
        <v>1</v>
      </c>
      <c r="AO16" s="2">
        <f>_xlfn.COUNTIFS(Биология!$H$1:$H$1000,7,Биология!$N$1:$N$1000,"Победитель",Биология!$M$1:$M$1000,"100%")</f>
        <v>0</v>
      </c>
      <c r="AP16" s="2">
        <f>_xlfn.COUNTIFS(Биология!$H$1:$H$1000,7,Биология!$N$1:$N$1000,"Призер",Биология!$J$1:$J$1000,"имеются")</f>
        <v>0</v>
      </c>
      <c r="AQ16" s="2">
        <f>_xlfn.COUNTIFS(Биология!$H$1:$H$1000,7,Биология!$N$1:$N$1000,"Победитель",Биология!$J$1:$J$1000,"имеются")</f>
        <v>0</v>
      </c>
      <c r="AR16" s="2">
        <f>COUNTIF(Биология!$H$1:$H$1000,8)</f>
        <v>0</v>
      </c>
      <c r="AS16" s="161">
        <f>_xlfn.COUNTIFS(Биология!$H$1:$H$1000,8,Биология!$G$1:$G$1000,"&lt;8")</f>
        <v>0</v>
      </c>
      <c r="AT16" s="161">
        <f>_xlfn.COUNTIFS(Биология!$H$1:$H$1000,8,Биология!$J$1:$J$1000,"имеются")</f>
        <v>0</v>
      </c>
      <c r="AU16" s="2">
        <f>_xlfn.COUNTIFS(Биология!$H$1:$H$1000,8,Биология!$N$1:$N$1000,"Призер")</f>
        <v>0</v>
      </c>
      <c r="AV16" s="2">
        <f>_xlfn.COUNTIFS(Биология!$H$1:$H$1000,8,Биология!$N$1:$N$1000,"Победитель")</f>
        <v>0</v>
      </c>
      <c r="AW16" s="2">
        <f>_xlfn.COUNTIFS(Биология!$H$1:$H$1000,8,Биология!$N$1:$N$1000,"Победитель",Биология!$M$1:$M$1000,"100%")</f>
        <v>0</v>
      </c>
      <c r="AX16" s="2">
        <f>_xlfn.COUNTIFS(Биология!$H$1:$H$1000,8,Биология!$N$1:$N$1000,"Призер",Биология!$J$1:$J$1000,"имеются")</f>
        <v>0</v>
      </c>
      <c r="AY16" s="2">
        <f>_xlfn.COUNTIFS(Биология!$H$1:$H$1000,8,Биология!$N$1:$N$1000,"Победитель",Биология!$J$1:$J$1000,"имеются")</f>
        <v>0</v>
      </c>
      <c r="AZ16" s="2">
        <f>COUNTIF(Биология!$H$1:$H$1000,9)</f>
        <v>3</v>
      </c>
      <c r="BA16" s="161">
        <f>_xlfn.COUNTIFS(Биология!$H$1:$H$1000,9,Биология!$G$1:$G$1000,"&lt;9")</f>
        <v>0</v>
      </c>
      <c r="BB16" s="161">
        <f>_xlfn.COUNTIFS(Биология!$H$1:$H$1000,9,Биология!$J$1:$J$1000,"имеются")</f>
        <v>0</v>
      </c>
      <c r="BC16" s="2">
        <f>_xlfn.COUNTIFS(Биология!$H$1:$H$1000,9,Биология!$N$1:$N$1000,"Призер")</f>
        <v>1</v>
      </c>
      <c r="BD16" s="2">
        <f>_xlfn.COUNTIFS(Биология!$H$1:$H$1000,9,Биология!$N$1:$N$1000,"Победитель")</f>
        <v>0</v>
      </c>
      <c r="BE16" s="2">
        <f>_xlfn.COUNTIFS(Биология!$H$1:$H$1000,9,Биология!$N$1:$N$1000,"Победитель",Биология!$M$1:$M$1000,"100%")</f>
        <v>0</v>
      </c>
      <c r="BF16" s="2">
        <f>_xlfn.COUNTIFS(Биология!$H$1:$H$1000,9,Биология!$N$1:$N$1000,"Призер",Биология!$J$1:$J$1000,"имеются")</f>
        <v>0</v>
      </c>
      <c r="BG16" s="2">
        <f>_xlfn.COUNTIFS(Биология!$H$1:$H$1000,9,Биология!$N$1:$N$1000,"Победитель",Биология!$J$1:$J$1000,"имеются")</f>
        <v>0</v>
      </c>
      <c r="BH16" s="2">
        <f>COUNTIF(Биология!$H$1:$H$1000,10)</f>
        <v>2</v>
      </c>
      <c r="BI16" s="161">
        <f>_xlfn.COUNTIFS(Биология!$H$1:$H$1000,10,Биология!$G$1:$G$1000,"&lt;10")</f>
        <v>0</v>
      </c>
      <c r="BJ16" s="161">
        <f>_xlfn.COUNTIFS(Биология!$H$1:$H$1000,10,Биология!$J$1:$J$1000,"имеются")</f>
        <v>0</v>
      </c>
      <c r="BK16" s="2">
        <f>_xlfn.COUNTIFS(Биология!$H$1:$H$1000,10,Биология!$N$1:$N$1000,"Призер")</f>
        <v>0</v>
      </c>
      <c r="BL16" s="2">
        <f>_xlfn.COUNTIFS(Биология!$H$1:$H$1000,10,Биология!$N$1:$N$1000,"Победитель")</f>
        <v>0</v>
      </c>
      <c r="BM16" s="2">
        <f>_xlfn.COUNTIFS(Биология!$H$1:$H$1000,10,Биология!$N$1:$N$1000,"Победитель",Биология!$M$1:$M$1000,"100%")</f>
        <v>0</v>
      </c>
      <c r="BN16" s="2">
        <f>_xlfn.COUNTIFS(Биология!$H$1:$H$1000,10,Биология!$N$1:$N$1000,"Призер",Биология!$J$1:$J$1000,"имеются")</f>
        <v>0</v>
      </c>
      <c r="BO16" s="2">
        <f>_xlfn.COUNTIFS(Биология!$H$1:$H$1000,10,Биология!$N$1:$N$1000,"Победитель",Биология!$J$1:$J$1000,"имеются")</f>
        <v>0</v>
      </c>
      <c r="BP16" s="2">
        <f>COUNTIF(Биология!$H$1:$H$1000,11)</f>
        <v>3</v>
      </c>
      <c r="BQ16" s="161">
        <f>_xlfn.COUNTIFS(Биология!$H$1:$H$1000,11,Биология!$G$1:$G$1000,"&lt;11")</f>
        <v>0</v>
      </c>
      <c r="BR16" s="161">
        <f>_xlfn.COUNTIFS(Биология!$H$1:$H$1000,11,Биология!$J$1:$J$1000,"имеются")</f>
        <v>0</v>
      </c>
      <c r="BS16" s="2">
        <f>_xlfn.COUNTIFS(Биология!$H$1:$H$1000,11,Биология!$N$1:$N$1000,"Призер")</f>
        <v>1</v>
      </c>
      <c r="BT16" s="2">
        <f>_xlfn.COUNTIFS(Биология!$H$1:$H$1000,11,Биология!$N$1:$N$1000,"Победитель")</f>
        <v>0</v>
      </c>
      <c r="BU16" s="2">
        <f>_xlfn.COUNTIFS(Биология!$H$1:$H$1000,11,Биология!$N$1:$N$1000,"Победитель",Биология!$M$1:$M$1000,"100%")</f>
        <v>0</v>
      </c>
      <c r="BV16" s="2">
        <f>_xlfn.COUNTIFS(Биология!$H$1:$H$1000,11,Биология!$N$1:$N$1000,"Призер",Биология!$J$1:$J$1000,"имеются")</f>
        <v>0</v>
      </c>
      <c r="BW16" s="2">
        <f>_xlfn.COUNTIFS(Биология!$H$1:$H$1000,11,Биология!$N$1:$N$1000,"Победитель",Биология!$J$1:$J$1000,"имеются")</f>
        <v>0</v>
      </c>
      <c r="BX16" s="97">
        <f aca="true" t="shared" si="7" ref="BX16:BX37">(G16+H16)/D16</f>
        <v>0.29411764705882354</v>
      </c>
      <c r="BY16" s="301">
        <f>IF(Биология!$S$1="1","Нет даты рождения","")</f>
      </c>
    </row>
    <row r="17" spans="1:77" ht="12.75">
      <c r="A17" s="33">
        <v>4</v>
      </c>
      <c r="B17" s="31" t="s">
        <v>24</v>
      </c>
      <c r="C17" s="14">
        <f t="shared" si="0"/>
        <v>1</v>
      </c>
      <c r="D17" s="2">
        <f t="shared" si="1"/>
        <v>9</v>
      </c>
      <c r="E17" s="2">
        <f t="shared" si="2"/>
        <v>0</v>
      </c>
      <c r="F17" s="2">
        <f t="shared" si="3"/>
        <v>0</v>
      </c>
      <c r="G17" s="2">
        <f>IF(SUM(W17,AE17,AM17,AU17,BC17,BK17,BS17)&lt;&gt;COUNTIF(География!$N$1:$N$1000,"Призер"),"Ошибка",SUM(W17,AE17,AM17,AU17,BC17,BK17,BS17))</f>
        <v>1</v>
      </c>
      <c r="H17" s="2">
        <f>IF(SUM(X17,AF17,AN17,AV17,BD17,BL17,BT17)&lt;&gt;COUNTIF(География!$N$1:$N$1000,"Победитель"),"Ошибка",SUM(X17,AF17,AN17,AV17,BD17,BL17,BT17))</f>
        <v>1</v>
      </c>
      <c r="I17" s="2">
        <f t="shared" si="4"/>
        <v>0</v>
      </c>
      <c r="J17" s="2">
        <f t="shared" si="5"/>
        <v>0</v>
      </c>
      <c r="K17" s="2">
        <f t="shared" si="6"/>
        <v>0</v>
      </c>
      <c r="L17" s="2"/>
      <c r="M17" s="2"/>
      <c r="N17" s="2"/>
      <c r="O17" s="2"/>
      <c r="P17" s="2"/>
      <c r="Q17" s="2"/>
      <c r="R17" s="2"/>
      <c r="S17" s="2"/>
      <c r="T17" s="2">
        <f>COUNTIF(География!$H$1:$H$1000,5)</f>
        <v>0</v>
      </c>
      <c r="U17" s="161">
        <f>_xlfn.COUNTIFS(География!$H$1:$H$1000,5,География!$G$1:$G$1000,"&lt;5")</f>
        <v>0</v>
      </c>
      <c r="V17" s="161">
        <f>_xlfn.COUNTIFS(География!$H$1:$H$1000,5,География!$J$1:$J$1000,"имеются")</f>
        <v>0</v>
      </c>
      <c r="W17" s="2">
        <f>_xlfn.COUNTIFS(География!$H$1:$H$1000,5,География!$N$1:$N$1000,"Призер")</f>
        <v>0</v>
      </c>
      <c r="X17" s="2">
        <f>_xlfn.COUNTIFS(География!$H$1:$H$1000,5,География!$N$1:$N$1000,"Победитель")</f>
        <v>0</v>
      </c>
      <c r="Y17" s="2">
        <f>_xlfn.COUNTIFS(География!$H$1:$H$1000,5,География!$N$1:$N$1000,"Победитель",География!$M$1:$M$1000,"100%")</f>
        <v>0</v>
      </c>
      <c r="Z17" s="2">
        <f>_xlfn.COUNTIFS(География!$H$1:$H$1000,5,География!$N$1:$N$1000,"Призер",География!$J$1:$J$1000,"имеются")</f>
        <v>0</v>
      </c>
      <c r="AA17" s="2">
        <f>_xlfn.COUNTIFS(География!$H$1:$H$1000,5,География!$N$1:$N$1000,"Победитель",География!$J$1:$J$1000,"имеются")</f>
        <v>0</v>
      </c>
      <c r="AB17" s="2">
        <f>COUNTIF(География!$H$1:$H$1000,6)</f>
        <v>0</v>
      </c>
      <c r="AC17" s="161">
        <f>_xlfn.COUNTIFS(География!$H$1:$H$1000,6,География!$G$1:$G$1000,"&lt;6")</f>
        <v>0</v>
      </c>
      <c r="AD17" s="161">
        <f>_xlfn.COUNTIFS(География!$H$1:$H$1000,6,География!$J$1:$J$1000,"имеются")</f>
        <v>0</v>
      </c>
      <c r="AE17" s="2">
        <f>_xlfn.COUNTIFS(География!$H$1:$H$1000,6,География!$N$1:$N$1000,"Призер")</f>
        <v>0</v>
      </c>
      <c r="AF17" s="2">
        <f>_xlfn.COUNTIFS(География!$H$1:$H$1000,6,География!$N$1:$N$1000,"Победитель")</f>
        <v>0</v>
      </c>
      <c r="AG17" s="2">
        <f>_xlfn.COUNTIFS(География!$H$1:$H$1000,6,География!$N$1:$N$1000,"Победитель",География!$M$1:$M$1000,"100%")</f>
        <v>0</v>
      </c>
      <c r="AH17" s="2">
        <f>_xlfn.COUNTIFS(География!$H$1:$H$1000,6,География!$N$1:$N$1000,"Призер",География!$J$1:$J$1000,"имеются")</f>
        <v>0</v>
      </c>
      <c r="AI17" s="2">
        <f>_xlfn.COUNTIFS(География!$H$1:$H$1000,6,География!$N$1:$N$1000,"Победитель",География!$J$1:$J$1000,"имеются")</f>
        <v>0</v>
      </c>
      <c r="AJ17" s="2">
        <f>COUNTIF(География!$H$1:$H$1000,7)</f>
        <v>3</v>
      </c>
      <c r="AK17" s="161">
        <f>_xlfn.COUNTIFS(География!$H$1:$H$1000,7,География!$G$1:$G$1000,"&lt;7")</f>
        <v>0</v>
      </c>
      <c r="AL17" s="161">
        <f>_xlfn.COUNTIFS(География!$H$1:$H$1000,7,География!$J$1:$J$1000,"имеются")</f>
        <v>0</v>
      </c>
      <c r="AM17" s="2">
        <f>_xlfn.COUNTIFS(География!$H$1:$H$1000,7,География!$N$1:$N$1000,"Призер")</f>
        <v>0</v>
      </c>
      <c r="AN17" s="2">
        <f>_xlfn.COUNTIFS(География!$H$1:$H$1000,7,География!$N$1:$N$1000,"Победитель")</f>
        <v>0</v>
      </c>
      <c r="AO17" s="2">
        <f>_xlfn.COUNTIFS(География!$H$1:$H$1000,7,География!$N$1:$N$1000,"Победитель",География!$M$1:$M$1000,"100%")</f>
        <v>0</v>
      </c>
      <c r="AP17" s="2">
        <f>_xlfn.COUNTIFS(География!$H$1:$H$1000,7,География!$N$1:$N$1000,"Призер",География!$J$1:$J$1000,"имеются")</f>
        <v>0</v>
      </c>
      <c r="AQ17" s="2">
        <f>_xlfn.COUNTIFS(География!$H$1:$H$1000,7,География!$N$1:$N$1000,"Победитель",География!$J$1:$J$1000,"имеются")</f>
        <v>0</v>
      </c>
      <c r="AR17" s="2">
        <f>COUNTIF(География!$H$1:$H$1000,8)</f>
        <v>0</v>
      </c>
      <c r="AS17" s="161">
        <f>_xlfn.COUNTIFS(География!$H$1:$H$1000,8,География!$G$1:$G$1000,"&lt;8")</f>
        <v>0</v>
      </c>
      <c r="AT17" s="161">
        <f>_xlfn.COUNTIFS(География!$H$1:$H$1000,8,География!$J$1:$J$1000,"имеются")</f>
        <v>0</v>
      </c>
      <c r="AU17" s="2">
        <f>_xlfn.COUNTIFS(География!$H$1:$H$1000,8,География!$N$1:$N$1000,"Призер")</f>
        <v>0</v>
      </c>
      <c r="AV17" s="2">
        <f>_xlfn.COUNTIFS(География!$H$1:$H$1000,8,География!$N$1:$N$1000,"Победитель")</f>
        <v>0</v>
      </c>
      <c r="AW17" s="2">
        <f>_xlfn.COUNTIFS(География!$H$1:$H$1000,8,География!$N$1:$N$1000,"Победитель",География!$M$1:$M$1000,"100%")</f>
        <v>0</v>
      </c>
      <c r="AX17" s="2">
        <f>_xlfn.COUNTIFS(География!$H$1:$H$1000,8,География!$N$1:$N$1000,"Призер",География!$J$1:$J$1000,"имеются")</f>
        <v>0</v>
      </c>
      <c r="AY17" s="2">
        <f>_xlfn.COUNTIFS(География!$H$1:$H$1000,8,География!$N$1:$N$1000,"Победитель",География!$J$1:$J$1000,"имеются")</f>
        <v>0</v>
      </c>
      <c r="AZ17" s="2">
        <f>COUNTIF(География!$H$1:$H$1000,9)</f>
        <v>6</v>
      </c>
      <c r="BA17" s="161">
        <f>_xlfn.COUNTIFS(География!$H$1:$H$1000,9,География!$G$1:$G$1000,"&lt;9")</f>
        <v>0</v>
      </c>
      <c r="BB17" s="161">
        <f>_xlfn.COUNTIFS(География!$H$1:$H$1000,9,География!$J$1:$J$1000,"имеются")</f>
        <v>0</v>
      </c>
      <c r="BC17" s="2">
        <f>_xlfn.COUNTIFS(География!$H$1:$H$1000,9,География!$N$1:$N$1000,"Призер")</f>
        <v>1</v>
      </c>
      <c r="BD17" s="2">
        <f>_xlfn.COUNTIFS(География!$H$1:$H$1000,9,География!$N$1:$N$1000,"Победитель")</f>
        <v>1</v>
      </c>
      <c r="BE17" s="2">
        <f>_xlfn.COUNTIFS(География!$H$1:$H$1000,9,География!$N$1:$N$1000,"Победитель",География!$M$1:$M$1000,"100%")</f>
        <v>0</v>
      </c>
      <c r="BF17" s="2">
        <f>_xlfn.COUNTIFS(География!$H$1:$H$1000,9,География!$N$1:$N$1000,"Призер",География!$J$1:$J$1000,"имеются")</f>
        <v>0</v>
      </c>
      <c r="BG17" s="2">
        <f>_xlfn.COUNTIFS(География!$H$1:$H$1000,9,География!$N$1:$N$1000,"Победитель",География!$J$1:$J$1000,"имеются")</f>
        <v>0</v>
      </c>
      <c r="BH17" s="2">
        <f>COUNTIF(География!$H$1:$H$1000,10)</f>
        <v>0</v>
      </c>
      <c r="BI17" s="161">
        <f>_xlfn.COUNTIFS(География!$H$1:$H$1000,10,География!$G$1:$G$1000,"&lt;10")</f>
        <v>0</v>
      </c>
      <c r="BJ17" s="161">
        <f>_xlfn.COUNTIFS(География!$H$1:$H$1000,10,География!$J$1:$J$1000,"имеются")</f>
        <v>0</v>
      </c>
      <c r="BK17" s="2">
        <f>_xlfn.COUNTIFS(География!$H$1:$H$1000,10,География!$N$1:$N$1000,"Призер")</f>
        <v>0</v>
      </c>
      <c r="BL17" s="2">
        <f>_xlfn.COUNTIFS(География!$H$1:$H$1000,10,География!$N$1:$N$1000,"Победитель")</f>
        <v>0</v>
      </c>
      <c r="BM17" s="2">
        <f>_xlfn.COUNTIFS(География!$H$1:$H$1000,10,География!$N$1:$N$1000,"Победитель",География!$M$1:$M$1000,"100%")</f>
        <v>0</v>
      </c>
      <c r="BN17" s="2">
        <f>_xlfn.COUNTIFS(География!$H$1:$H$1000,10,География!$N$1:$N$1000,"Призер",География!$J$1:$J$1000,"имеются")</f>
        <v>0</v>
      </c>
      <c r="BO17" s="2">
        <f>_xlfn.COUNTIFS(География!$H$1:$H$1000,10,География!$N$1:$N$1000,"Победитель",География!$J$1:$J$1000,"имеются")</f>
        <v>0</v>
      </c>
      <c r="BP17" s="2">
        <f>COUNTIF(География!$H$1:$H$1000,11)</f>
        <v>0</v>
      </c>
      <c r="BQ17" s="161">
        <f>_xlfn.COUNTIFS(География!$H$1:$H$1000,11,География!$G$1:$G$1000,"&lt;11")</f>
        <v>0</v>
      </c>
      <c r="BR17" s="161">
        <f>_xlfn.COUNTIFS(География!$H$1:$H$1000,11,География!$J$1:$J$1000,"имеются")</f>
        <v>0</v>
      </c>
      <c r="BS17" s="2">
        <f>_xlfn.COUNTIFS(География!$H$1:$H$1000,11,География!$N$1:$N$1000,"Призер")</f>
        <v>0</v>
      </c>
      <c r="BT17" s="2">
        <f>_xlfn.COUNTIFS(География!$H$1:$H$1000,11,География!$N$1:$N$1000,"Победитель")</f>
        <v>0</v>
      </c>
      <c r="BU17" s="2">
        <f>_xlfn.COUNTIFS(География!$H$1:$H$1000,11,География!$N$1:$N$1000,"Победитель",География!$M$1:$M$1000,"100%")</f>
        <v>0</v>
      </c>
      <c r="BV17" s="2">
        <f>_xlfn.COUNTIFS(География!$H$1:$H$1000,11,География!$N$1:$N$1000,"Призер",География!$J$1:$J$1000,"имеются")</f>
        <v>0</v>
      </c>
      <c r="BW17" s="2">
        <f>_xlfn.COUNTIFS(География!$H$1:$H$1000,11,География!$N$1:$N$1000,"Победитель",География!$J$1:$J$1000,"имеются")</f>
        <v>0</v>
      </c>
      <c r="BX17" s="97">
        <f t="shared" si="7"/>
        <v>0.2222222222222222</v>
      </c>
      <c r="BY17" s="300">
        <f>IF(География!$S$1="1","Нет даты рождения","")</f>
      </c>
    </row>
    <row r="18" spans="1:77" ht="12.75">
      <c r="A18" s="33">
        <v>5</v>
      </c>
      <c r="B18" s="31" t="s">
        <v>44</v>
      </c>
      <c r="C18" s="14">
        <f t="shared" si="0"/>
        <v>0</v>
      </c>
      <c r="D18" s="2">
        <f t="shared" si="1"/>
        <v>0</v>
      </c>
      <c r="E18" s="2">
        <f t="shared" si="2"/>
        <v>0</v>
      </c>
      <c r="F18" s="2">
        <f t="shared" si="3"/>
        <v>0</v>
      </c>
      <c r="G18" s="2">
        <f>IF(SUM(W18,AE18,AM18,AU18,BC18,BK18,BS18)&lt;&gt;COUNTIF(Информатика!$N$1:$N$1000,"Призер"),"Ошибка",SUM(W18,AE18,AM18,AU18,BC18,BK18,BS18))</f>
        <v>0</v>
      </c>
      <c r="H18" s="2">
        <f>IF(SUM(X18,AF18,AN18,AV18,BD18,BL18,BT18)&lt;&gt;COUNTIF(Информатика!$N$1:$N$1000,"Победитель"),"Ошибка",SUM(X18,AF18,AN18,AV18,BD18,BL18,BT18))</f>
        <v>0</v>
      </c>
      <c r="I18" s="2">
        <f t="shared" si="4"/>
        <v>0</v>
      </c>
      <c r="J18" s="2">
        <f t="shared" si="5"/>
        <v>0</v>
      </c>
      <c r="K18" s="2">
        <f t="shared" si="6"/>
        <v>0</v>
      </c>
      <c r="L18" s="2"/>
      <c r="M18" s="2"/>
      <c r="N18" s="2"/>
      <c r="O18" s="2"/>
      <c r="P18" s="2"/>
      <c r="Q18" s="2"/>
      <c r="R18" s="2"/>
      <c r="S18" s="2"/>
      <c r="T18" s="2">
        <f>COUNTIF(Информатика!$H$1:$H$1000,5)</f>
        <v>0</v>
      </c>
      <c r="U18" s="161">
        <f>_xlfn.COUNTIFS(Информатика!$H$1:$H$1000,5,Информатика!$G$1:$G$1000,"&lt;5")</f>
        <v>0</v>
      </c>
      <c r="V18" s="161">
        <f>_xlfn.COUNTIFS(Информатика!$H$1:$H$1000,5,Информатика!$J$1:$J$1000,"имеются")</f>
        <v>0</v>
      </c>
      <c r="W18" s="2">
        <f>_xlfn.COUNTIFS(Информатика!$H$1:$H$1000,5,Информатика!$N$1:$N$1000,"Призер")</f>
        <v>0</v>
      </c>
      <c r="X18" s="2">
        <f>_xlfn.COUNTIFS(Информатика!$H$1:$H$1000,5,Информатика!$N$1:$N$1000,"Победитель")</f>
        <v>0</v>
      </c>
      <c r="Y18" s="2">
        <f>_xlfn.COUNTIFS(Информатика!$H$1:$H$1000,5,Информатика!$N$1:$N$1000,"Победитель",Информатика!$M$1:$M$1000,"100%")</f>
        <v>0</v>
      </c>
      <c r="Z18" s="2">
        <f>_xlfn.COUNTIFS(Информатика!$H$1:$H$1000,5,Информатика!$N$1:$N$1000,"Призер",Информатика!$J$1:$J$1000,"имеются")</f>
        <v>0</v>
      </c>
      <c r="AA18" s="2">
        <f>_xlfn.COUNTIFS(Информатика!$H$1:$H$1000,5,Информатика!$N$1:$N$1000,"Победитель",Информатика!$J$1:$J$1000,"имеются")</f>
        <v>0</v>
      </c>
      <c r="AB18" s="2">
        <f>COUNTIF(Информатика!$H$1:$H$1000,6)</f>
        <v>0</v>
      </c>
      <c r="AC18" s="161">
        <f>_xlfn.COUNTIFS(Информатика!$H$1:$H$1000,6,Информатика!$G$1:$G$1000,"&lt;6")</f>
        <v>0</v>
      </c>
      <c r="AD18" s="161">
        <f>_xlfn.COUNTIFS(Информатика!$H$1:$H$1000,6,Информатика!$J$1:$J$1000,"имеются")</f>
        <v>0</v>
      </c>
      <c r="AE18" s="2">
        <f>_xlfn.COUNTIFS(Информатика!$H$1:$H$1000,6,Информатика!$N$1:$N$1000,"Призер")</f>
        <v>0</v>
      </c>
      <c r="AF18" s="2">
        <f>_xlfn.COUNTIFS(Информатика!$H$1:$H$1000,6,Информатика!$N$1:$N$1000,"Победитель")</f>
        <v>0</v>
      </c>
      <c r="AG18" s="2">
        <f>_xlfn.COUNTIFS(Информатика!$H$1:$H$1000,6,Информатика!$N$1:$N$1000,"Победитель",Информатика!$M$1:$M$1000,"100%")</f>
        <v>0</v>
      </c>
      <c r="AH18" s="2">
        <f>_xlfn.COUNTIFS(Информатика!$H$1:$H$1000,6,Информатика!$N$1:$N$1000,"Призер",Информатика!$J$1:$J$1000,"имеются")</f>
        <v>0</v>
      </c>
      <c r="AI18" s="2">
        <f>_xlfn.COUNTIFS(Информатика!$H$1:$H$1000,6,Информатика!$N$1:$N$1000,"Победитель",Информатика!$J$1:$J$1000,"имеются")</f>
        <v>0</v>
      </c>
      <c r="AJ18" s="2">
        <f>COUNTIF(Информатика!$H$1:$H$1000,7)</f>
        <v>0</v>
      </c>
      <c r="AK18" s="161">
        <f>_xlfn.COUNTIFS(Информатика!$H$1:$H$1000,7,Информатика!$G$1:$G$1000,"&lt;7")</f>
        <v>0</v>
      </c>
      <c r="AL18" s="161">
        <f>_xlfn.COUNTIFS(Информатика!$H$1:$H$1000,7,Информатика!$J$1:$J$1000,"имеются")</f>
        <v>0</v>
      </c>
      <c r="AM18" s="2">
        <f>_xlfn.COUNTIFS(Информатика!$H$1:$H$1000,7,Информатика!$N$1:$N$1000,"Призер")</f>
        <v>0</v>
      </c>
      <c r="AN18" s="2">
        <f>_xlfn.COUNTIFS(Информатика!$H$1:$H$1000,7,Информатика!$N$1:$N$1000,"Победитель")</f>
        <v>0</v>
      </c>
      <c r="AO18" s="2">
        <f>_xlfn.COUNTIFS(Информатика!$H$1:$H$1000,7,Информатика!$N$1:$N$1000,"Победитель",Информатика!$M$1:$M$1000,"100%")</f>
        <v>0</v>
      </c>
      <c r="AP18" s="2">
        <f>_xlfn.COUNTIFS(Информатика!$H$1:$H$1000,7,Информатика!$N$1:$N$1000,"Призер",Информатика!$J$1:$J$1000,"имеются")</f>
        <v>0</v>
      </c>
      <c r="AQ18" s="2">
        <f>_xlfn.COUNTIFS(Информатика!$H$1:$H$1000,7,Информатика!$N$1:$N$1000,"Победитель",Информатика!$J$1:$J$1000,"имеются")</f>
        <v>0</v>
      </c>
      <c r="AR18" s="2">
        <f>COUNTIF(Информатика!$H$1:$H$1000,8)</f>
        <v>0</v>
      </c>
      <c r="AS18" s="161">
        <f>_xlfn.COUNTIFS(Информатика!$H$1:$H$1000,8,Информатика!$G$1:$G$1000,"&lt;8")</f>
        <v>0</v>
      </c>
      <c r="AT18" s="161">
        <f>_xlfn.COUNTIFS(Информатика!$H$1:$H$1000,8,Информатика!$J$1:$J$1000,"имеются")</f>
        <v>0</v>
      </c>
      <c r="AU18" s="2">
        <f>_xlfn.COUNTIFS(Информатика!$H$1:$H$1000,8,Информатика!$N$1:$N$1000,"Призер")</f>
        <v>0</v>
      </c>
      <c r="AV18" s="2">
        <f>_xlfn.COUNTIFS(Информатика!$H$1:$H$1000,8,Информатика!$N$1:$N$1000,"Победитель")</f>
        <v>0</v>
      </c>
      <c r="AW18" s="2">
        <f>_xlfn.COUNTIFS(Информатика!$H$1:$H$1000,8,Информатика!$N$1:$N$1000,"Победитель",Информатика!$M$1:$M$1000,"100%")</f>
        <v>0</v>
      </c>
      <c r="AX18" s="2">
        <f>_xlfn.COUNTIFS(Информатика!$H$1:$H$1000,8,Информатика!$N$1:$N$1000,"Призер",Информатика!$J$1:$J$1000,"имеются")</f>
        <v>0</v>
      </c>
      <c r="AY18" s="2">
        <f>_xlfn.COUNTIFS(Информатика!$H$1:$H$1000,8,Информатика!$N$1:$N$1000,"Победитель",Информатика!$J$1:$J$1000,"имеются")</f>
        <v>0</v>
      </c>
      <c r="AZ18" s="2">
        <f>COUNTIF(Информатика!$H$1:$H$1000,9)</f>
        <v>0</v>
      </c>
      <c r="BA18" s="161">
        <f>_xlfn.COUNTIFS(Информатика!$H$1:$H$1000,9,Информатика!$G$1:$G$1000,"&lt;9")</f>
        <v>0</v>
      </c>
      <c r="BB18" s="161">
        <f>_xlfn.COUNTIFS(Информатика!$H$1:$H$1000,9,Информатика!$J$1:$J$1000,"имеются")</f>
        <v>0</v>
      </c>
      <c r="BC18" s="2">
        <f>_xlfn.COUNTIFS(Информатика!$H$1:$H$1000,9,Информатика!$N$1:$N$1000,"Призер")</f>
        <v>0</v>
      </c>
      <c r="BD18" s="2">
        <f>_xlfn.COUNTIFS(Информатика!$H$1:$H$1000,9,Информатика!$N$1:$N$1000,"Победитель")</f>
        <v>0</v>
      </c>
      <c r="BE18" s="2">
        <f>_xlfn.COUNTIFS(Информатика!$H$1:$H$1000,9,Информатика!$N$1:$N$1000,"Победитель",Информатика!$M$1:$M$1000,"100%")</f>
        <v>0</v>
      </c>
      <c r="BF18" s="2">
        <f>_xlfn.COUNTIFS(Информатика!$H$1:$H$1000,9,Информатика!$N$1:$N$1000,"Призер",Информатика!$J$1:$J$1000,"имеются")</f>
        <v>0</v>
      </c>
      <c r="BG18" s="2">
        <f>_xlfn.COUNTIFS(Информатика!$H$1:$H$1000,9,Информатика!$N$1:$N$1000,"Победитель",Информатика!$J$1:$J$1000,"имеются")</f>
        <v>0</v>
      </c>
      <c r="BH18" s="2">
        <f>COUNTIF(Информатика!$H$1:$H$1000,10)</f>
        <v>0</v>
      </c>
      <c r="BI18" s="161">
        <f>_xlfn.COUNTIFS(Информатика!$H$1:$H$1000,10,Информатика!$G$1:$G$1000,"&lt;10")</f>
        <v>0</v>
      </c>
      <c r="BJ18" s="161">
        <f>_xlfn.COUNTIFS(Информатика!$H$1:$H$1000,10,Информатика!$J$1:$J$1000,"имеются")</f>
        <v>0</v>
      </c>
      <c r="BK18" s="2">
        <f>_xlfn.COUNTIFS(Информатика!$H$1:$H$1000,10,Информатика!$N$1:$N$1000,"Призер")</f>
        <v>0</v>
      </c>
      <c r="BL18" s="2">
        <f>_xlfn.COUNTIFS(Информатика!$H$1:$H$1000,10,Информатика!$N$1:$N$1000,"Победитель")</f>
        <v>0</v>
      </c>
      <c r="BM18" s="2">
        <f>_xlfn.COUNTIFS(Информатика!$H$1:$H$1000,10,Информатика!$N$1:$N$1000,"Победитель",Информатика!$M$1:$M$1000,"100%")</f>
        <v>0</v>
      </c>
      <c r="BN18" s="2">
        <f>_xlfn.COUNTIFS(Информатика!$H$1:$H$1000,10,Информатика!$N$1:$N$1000,"Призер",Информатика!$J$1:$J$1000,"имеются")</f>
        <v>0</v>
      </c>
      <c r="BO18" s="2">
        <f>_xlfn.COUNTIFS(Информатика!$H$1:$H$1000,10,Информатика!$N$1:$N$1000,"Победитель",Информатика!$J$1:$J$1000,"имеются")</f>
        <v>0</v>
      </c>
      <c r="BP18" s="2">
        <f>COUNTIF(Информатика!$H$1:$H$1000,11)</f>
        <v>0</v>
      </c>
      <c r="BQ18" s="161">
        <f>_xlfn.COUNTIFS(Информатика!$H$1:$H$1000,11,Информатика!$G$1:$G$1000,"&lt;11")</f>
        <v>0</v>
      </c>
      <c r="BR18" s="161">
        <f>_xlfn.COUNTIFS(Информатика!$H$1:$H$1000,11,Информатика!$J$1:$J$1000,"имеются")</f>
        <v>0</v>
      </c>
      <c r="BS18" s="2">
        <f>_xlfn.COUNTIFS(Информатика!$H$1:$H$1000,11,Информатика!$N$1:$N$1000,"Призер")</f>
        <v>0</v>
      </c>
      <c r="BT18" s="2">
        <f>_xlfn.COUNTIFS(Информатика!$H$1:$H$1000,11,Информатика!$N$1:$N$1000,"Победитель")</f>
        <v>0</v>
      </c>
      <c r="BU18" s="2">
        <f>_xlfn.COUNTIFS(Информатика!$H$1:$H$1000,11,Информатика!$N$1:$N$1000,"Победитель",Информатика!$M$1:$M$1000,"100%")</f>
        <v>0</v>
      </c>
      <c r="BV18" s="2">
        <f>_xlfn.COUNTIFS(Информатика!$H$1:$H$1000,11,Информатика!$N$1:$N$1000,"Призер",Информатика!$J$1:$J$1000,"имеются")</f>
        <v>0</v>
      </c>
      <c r="BW18" s="2">
        <f>_xlfn.COUNTIFS(Информатика!$H$1:$H$1000,11,Информатика!$N$1:$N$1000,"Победитель",Информатика!$J$1:$J$1000,"имеются")</f>
        <v>0</v>
      </c>
      <c r="BX18" s="97" t="e">
        <f t="shared" si="7"/>
        <v>#DIV/0!</v>
      </c>
      <c r="BY18" s="300">
        <f>IF(Информатика!$S$1="1","Нет даты рождения","")</f>
      </c>
    </row>
    <row r="19" spans="1:77" ht="12.75">
      <c r="A19" s="33">
        <v>6</v>
      </c>
      <c r="B19" s="31" t="s">
        <v>46</v>
      </c>
      <c r="C19" s="14">
        <f t="shared" si="0"/>
        <v>0</v>
      </c>
      <c r="D19" s="2">
        <f t="shared" si="1"/>
        <v>0</v>
      </c>
      <c r="E19" s="2">
        <f t="shared" si="2"/>
        <v>0</v>
      </c>
      <c r="F19" s="2">
        <f t="shared" si="3"/>
        <v>0</v>
      </c>
      <c r="G19" s="2">
        <f>IF(SUM(W19,AE19,AM19,AU19,BC19,BK19,BS19)&lt;&gt;COUNTIF(Искусство!$N$1:$N$1000,"Призер"),"Ошибка",SUM(W19,AE19,AM19,AU19,BC19,BK19,BS19))</f>
        <v>0</v>
      </c>
      <c r="H19" s="2">
        <f>IF(SUM(X19,AF19,AN19,AV19,BD19,BL19,BT19)&lt;&gt;COUNTIF(Искусство!$N$1:$N$1000,"Победитель"),"Ошибка",SUM(X19,AF19,AN19,AV19,BD19,BL19,BT19))</f>
        <v>0</v>
      </c>
      <c r="I19" s="2">
        <f t="shared" si="4"/>
        <v>0</v>
      </c>
      <c r="J19" s="2">
        <f t="shared" si="5"/>
        <v>0</v>
      </c>
      <c r="K19" s="2">
        <f t="shared" si="6"/>
        <v>0</v>
      </c>
      <c r="L19" s="2"/>
      <c r="M19" s="2"/>
      <c r="N19" s="2"/>
      <c r="O19" s="2"/>
      <c r="P19" s="2"/>
      <c r="Q19" s="2"/>
      <c r="R19" s="2"/>
      <c r="S19" s="2"/>
      <c r="T19" s="2">
        <f>COUNTIF(Искусство!$H$1:$H$1000,5)</f>
        <v>0</v>
      </c>
      <c r="U19" s="161">
        <f>_xlfn.COUNTIFS(Искусство!$H$1:$H$1000,5,Искусство!$G$1:$G$1000,"&lt;5")</f>
        <v>0</v>
      </c>
      <c r="V19" s="161">
        <f>_xlfn.COUNTIFS(Искусство!$H$1:$H$1000,5,Искусство!$J$1:$J$1000,"имеются")</f>
        <v>0</v>
      </c>
      <c r="W19" s="2">
        <f>_xlfn.COUNTIFS(Искусство!$H$1:$H$1000,5,Искусство!$N$1:$N$1000,"Призер")</f>
        <v>0</v>
      </c>
      <c r="X19" s="2">
        <f>_xlfn.COUNTIFS(Искусство!$H$1:$H$1000,5,Искусство!$N$1:$N$1000,"Победитель")</f>
        <v>0</v>
      </c>
      <c r="Y19" s="2">
        <f>_xlfn.COUNTIFS(Искусство!$H$1:$H$1000,5,Искусство!$N$1:$N$1000,"Победитель",Искусство!$M$1:$M$1000,"100%")</f>
        <v>0</v>
      </c>
      <c r="Z19" s="2">
        <f>_xlfn.COUNTIFS(Искусство!$H$1:$H$1000,5,Искусство!$N$1:$N$1000,"Призер",Искусство!$J$1:$J$1000,"имеются")</f>
        <v>0</v>
      </c>
      <c r="AA19" s="2">
        <f>_xlfn.COUNTIFS(Искусство!$H$1:$H$1000,5,Искусство!$N$1:$N$1000,"Победитель",Искусство!$J$1:$J$1000,"имеются")</f>
        <v>0</v>
      </c>
      <c r="AB19" s="2">
        <f>COUNTIF(Искусство!$H$1:$H$1000,6)</f>
        <v>0</v>
      </c>
      <c r="AC19" s="161">
        <f>_xlfn.COUNTIFS(Искусство!$H$1:$H$1000,6,Искусство!$G$1:$G$1000,"&lt;6")</f>
        <v>0</v>
      </c>
      <c r="AD19" s="161">
        <f>_xlfn.COUNTIFS(Искусство!$H$1:$H$1000,6,Искусство!$J$1:$J$1000,"имеются")</f>
        <v>0</v>
      </c>
      <c r="AE19" s="2">
        <f>_xlfn.COUNTIFS(Искусство!$H$1:$H$1000,6,Искусство!$N$1:$N$1000,"Призер")</f>
        <v>0</v>
      </c>
      <c r="AF19" s="2">
        <f>_xlfn.COUNTIFS(Искусство!$H$1:$H$1000,6,Искусство!$N$1:$N$1000,"Победитель")</f>
        <v>0</v>
      </c>
      <c r="AG19" s="2">
        <f>_xlfn.COUNTIFS(Искусство!$H$1:$H$1000,6,Искусство!$N$1:$N$1000,"Победитель",Искусство!$M$1:$M$1000,"100%")</f>
        <v>0</v>
      </c>
      <c r="AH19" s="2">
        <f>_xlfn.COUNTIFS(Искусство!$H$1:$H$1000,6,Искусство!$N$1:$N$1000,"Призер",Искусство!$J$1:$J$1000,"имеются")</f>
        <v>0</v>
      </c>
      <c r="AI19" s="2">
        <f>_xlfn.COUNTIFS(Искусство!$H$1:$H$1000,6,Искусство!$N$1:$N$1000,"Победитель",Искусство!$J$1:$J$1000,"имеются")</f>
        <v>0</v>
      </c>
      <c r="AJ19" s="2">
        <f>COUNTIF(Искусство!$H$1:$H$1000,7)</f>
        <v>0</v>
      </c>
      <c r="AK19" s="161">
        <f>_xlfn.COUNTIFS(Искусство!$H$1:$H$1000,7,Искусство!$G$1:$G$1000,"&lt;7")</f>
        <v>0</v>
      </c>
      <c r="AL19" s="161">
        <f>_xlfn.COUNTIFS(Искусство!$H$1:$H$1000,7,Искусство!$J$1:$J$1000,"имеются")</f>
        <v>0</v>
      </c>
      <c r="AM19" s="2">
        <f>_xlfn.COUNTIFS(Искусство!$H$1:$H$1000,7,Искусство!$N$1:$N$1000,"Призер")</f>
        <v>0</v>
      </c>
      <c r="AN19" s="2">
        <f>_xlfn.COUNTIFS(Искусство!$H$1:$H$1000,7,Искусство!$N$1:$N$1000,"Победитель")</f>
        <v>0</v>
      </c>
      <c r="AO19" s="2">
        <f>_xlfn.COUNTIFS(Искусство!$H$1:$H$1000,7,Искусство!$N$1:$N$1000,"Победитель",Искусство!$M$1:$M$1000,"100%")</f>
        <v>0</v>
      </c>
      <c r="AP19" s="2">
        <f>_xlfn.COUNTIFS(Искусство!$H$1:$H$1000,7,Искусство!$N$1:$N$1000,"Призер",Искусство!$J$1:$J$1000,"имеются")</f>
        <v>0</v>
      </c>
      <c r="AQ19" s="2">
        <f>_xlfn.COUNTIFS(Искусство!$H$1:$H$1000,7,Искусство!$N$1:$N$1000,"Победитель",Искусство!$J$1:$J$1000,"имеются")</f>
        <v>0</v>
      </c>
      <c r="AR19" s="2">
        <f>COUNTIF(Искусство!$H$1:$H$1000,8)</f>
        <v>0</v>
      </c>
      <c r="AS19" s="161">
        <f>_xlfn.COUNTIFS(Искусство!$H$1:$H$1000,8,Искусство!$G$1:$G$1000,"&lt;8")</f>
        <v>0</v>
      </c>
      <c r="AT19" s="161">
        <f>_xlfn.COUNTIFS(Искусство!$H$1:$H$1000,8,Искусство!$J$1:$J$1000,"имеются")</f>
        <v>0</v>
      </c>
      <c r="AU19" s="2">
        <f>_xlfn.COUNTIFS(Искусство!$H$1:$H$1000,8,Искусство!$N$1:$N$1000,"Призер")</f>
        <v>0</v>
      </c>
      <c r="AV19" s="2">
        <f>_xlfn.COUNTIFS(Искусство!$H$1:$H$1000,8,Искусство!$N$1:$N$1000,"Победитель")</f>
        <v>0</v>
      </c>
      <c r="AW19" s="2">
        <f>_xlfn.COUNTIFS(Искусство!$H$1:$H$1000,8,Искусство!$N$1:$N$1000,"Победитель",Искусство!$M$1:$M$1000,"100%")</f>
        <v>0</v>
      </c>
      <c r="AX19" s="2">
        <f>_xlfn.COUNTIFS(Искусство!$H$1:$H$1000,8,Искусство!$N$1:$N$1000,"Призер",Искусство!$J$1:$J$1000,"имеются")</f>
        <v>0</v>
      </c>
      <c r="AY19" s="2">
        <f>_xlfn.COUNTIFS(Искусство!$H$1:$H$1000,8,Искусство!$N$1:$N$1000,"Победитель",Искусство!$J$1:$J$1000,"имеются")</f>
        <v>0</v>
      </c>
      <c r="AZ19" s="2">
        <f>COUNTIF(Искусство!$H$1:$H$1000,9)</f>
        <v>0</v>
      </c>
      <c r="BA19" s="161">
        <f>_xlfn.COUNTIFS(Искусство!$H$1:$H$1000,9,Искусство!$G$1:$G$1000,"&lt;9")</f>
        <v>0</v>
      </c>
      <c r="BB19" s="161">
        <f>_xlfn.COUNTIFS(Искусство!$H$1:$H$1000,9,Искусство!$J$1:$J$1000,"имеются")</f>
        <v>0</v>
      </c>
      <c r="BC19" s="2">
        <f>_xlfn.COUNTIFS(Искусство!$H$1:$H$1000,9,Искусство!$N$1:$N$1000,"Призер")</f>
        <v>0</v>
      </c>
      <c r="BD19" s="2">
        <f>_xlfn.COUNTIFS(Искусство!$H$1:$H$1000,9,Искусство!$N$1:$N$1000,"Победитель")</f>
        <v>0</v>
      </c>
      <c r="BE19" s="2">
        <f>_xlfn.COUNTIFS(Искусство!$H$1:$H$1000,9,Искусство!$N$1:$N$1000,"Победитель",Искусство!$M$1:$M$1000,"100%")</f>
        <v>0</v>
      </c>
      <c r="BF19" s="2">
        <f>_xlfn.COUNTIFS(Искусство!$H$1:$H$1000,9,Искусство!$N$1:$N$1000,"Призер",Искусство!$J$1:$J$1000,"имеются")</f>
        <v>0</v>
      </c>
      <c r="BG19" s="2">
        <f>_xlfn.COUNTIFS(Искусство!$H$1:$H$1000,9,Искусство!$N$1:$N$1000,"Победитель",Искусство!$J$1:$J$1000,"имеются")</f>
        <v>0</v>
      </c>
      <c r="BH19" s="2">
        <f>COUNTIF(Искусство!$H$1:$H$1000,10)</f>
        <v>0</v>
      </c>
      <c r="BI19" s="161">
        <f>_xlfn.COUNTIFS(Искусство!$H$1:$H$1000,10,Искусство!$G$1:$G$1000,"&lt;10")</f>
        <v>0</v>
      </c>
      <c r="BJ19" s="161">
        <f>_xlfn.COUNTIFS(Искусство!$H$1:$H$1000,10,Искусство!$J$1:$J$1000,"имеются")</f>
        <v>0</v>
      </c>
      <c r="BK19" s="2">
        <f>_xlfn.COUNTIFS(Искусство!$H$1:$H$1000,10,Искусство!$N$1:$N$1000,"Призер")</f>
        <v>0</v>
      </c>
      <c r="BL19" s="2">
        <f>_xlfn.COUNTIFS(Искусство!$H$1:$H$1000,10,Искусство!$N$1:$N$1000,"Победитель")</f>
        <v>0</v>
      </c>
      <c r="BM19" s="2">
        <f>_xlfn.COUNTIFS(Искусство!$H$1:$H$1000,10,Искусство!$N$1:$N$1000,"Победитель",Искусство!$M$1:$M$1000,"100%")</f>
        <v>0</v>
      </c>
      <c r="BN19" s="2">
        <f>_xlfn.COUNTIFS(Искусство!$H$1:$H$1000,10,Искусство!$N$1:$N$1000,"Призер",Искусство!$J$1:$J$1000,"имеются")</f>
        <v>0</v>
      </c>
      <c r="BO19" s="2">
        <f>_xlfn.COUNTIFS(Искусство!$H$1:$H$1000,10,Искусство!$N$1:$N$1000,"Победитель",Искусство!$J$1:$J$1000,"имеются")</f>
        <v>0</v>
      </c>
      <c r="BP19" s="2">
        <f>COUNTIF(Искусство!$H$1:$H$1000,11)</f>
        <v>0</v>
      </c>
      <c r="BQ19" s="161">
        <f>_xlfn.COUNTIFS(Искусство!$H$1:$H$1000,11,Искусство!$G$1:$G$1000,"&lt;11")</f>
        <v>0</v>
      </c>
      <c r="BR19" s="161">
        <f>_xlfn.COUNTIFS(Искусство!$H$1:$H$1000,11,Искусство!$J$1:$J$1000,"имеются")</f>
        <v>0</v>
      </c>
      <c r="BS19" s="2">
        <f>_xlfn.COUNTIFS(Искусство!$H$1:$H$1000,11,Искусство!$N$1:$N$1000,"Призер")</f>
        <v>0</v>
      </c>
      <c r="BT19" s="2">
        <f>_xlfn.COUNTIFS(Искусство!$H$1:$H$1000,11,Искусство!$N$1:$N$1000,"Победитель")</f>
        <v>0</v>
      </c>
      <c r="BU19" s="2">
        <f>_xlfn.COUNTIFS(Искусство!$H$1:$H$1000,11,Искусство!$N$1:$N$1000,"Победитель",Искусство!$M$1:$M$1000,"100%")</f>
        <v>0</v>
      </c>
      <c r="BV19" s="2">
        <f>_xlfn.COUNTIFS(Искусство!$H$1:$H$1000,11,Искусство!$N$1:$N$1000,"Призер",Искусство!$J$1:$J$1000,"имеются")</f>
        <v>0</v>
      </c>
      <c r="BW19" s="2">
        <f>_xlfn.COUNTIFS(Искусство!$H$1:$H$1000,11,Искусство!$N$1:$N$1000,"Победитель",Искусство!$J$1:$J$1000,"имеются")</f>
        <v>0</v>
      </c>
      <c r="BX19" s="97" t="e">
        <f t="shared" si="7"/>
        <v>#DIV/0!</v>
      </c>
      <c r="BY19" s="302">
        <f>IF(Искусство!$S$1="1","Нет даты рождения","")</f>
      </c>
    </row>
    <row r="20" spans="1:77" ht="12.75">
      <c r="A20" s="33">
        <v>7</v>
      </c>
      <c r="B20" s="31" t="s">
        <v>114</v>
      </c>
      <c r="C20" s="14">
        <f>IF(D20&gt;0,1,0)</f>
        <v>0</v>
      </c>
      <c r="D20" s="2">
        <f t="shared" si="1"/>
        <v>0</v>
      </c>
      <c r="E20" s="2">
        <f t="shared" si="2"/>
        <v>0</v>
      </c>
      <c r="F20" s="2">
        <f t="shared" si="3"/>
        <v>0</v>
      </c>
      <c r="G20" s="2">
        <f>IF(SUM(W20,AE20,AM20,AU20,BC20,BK20,BS20)&lt;&gt;COUNTIF(Испанский_язык!$N$1:$N$1000,"Призер"),"Ошибка",SUM(W20,AE20,AM20,AU20,BC20,BK20,BS20))</f>
        <v>0</v>
      </c>
      <c r="H20" s="2">
        <f>IF(SUM(X20,AF20,AN20,AV20,BD20,BL20,BT20)&lt;&gt;COUNTIF(Испанский_язык!$N$1:$N$1000,"Победитель"),"Ошибка",SUM(X20,AF20,AN20,AV20,BD20,BL20,BT20))</f>
        <v>0</v>
      </c>
      <c r="I20" s="2">
        <f t="shared" si="4"/>
        <v>0</v>
      </c>
      <c r="J20" s="2">
        <f t="shared" si="5"/>
        <v>0</v>
      </c>
      <c r="K20" s="2">
        <f t="shared" si="6"/>
        <v>0</v>
      </c>
      <c r="L20" s="2"/>
      <c r="M20" s="2"/>
      <c r="N20" s="2"/>
      <c r="O20" s="2"/>
      <c r="P20" s="2"/>
      <c r="Q20" s="2"/>
      <c r="R20" s="2"/>
      <c r="S20" s="2"/>
      <c r="T20" s="2">
        <f>COUNTIF(Испанский_язык!$H$1:$H$1000,5)</f>
        <v>0</v>
      </c>
      <c r="U20" s="161">
        <f>_xlfn.COUNTIFS(Испанский_язык!$H$1:$H$1000,5,Испанский_язык!$G$1:$G$1000,"&lt;5")</f>
        <v>0</v>
      </c>
      <c r="V20" s="161">
        <f>_xlfn.COUNTIFS(Испанский_язык!$H$1:$H$1000,5,Испанский_язык!$J$1:$J$1000,"имеются")</f>
        <v>0</v>
      </c>
      <c r="W20" s="2">
        <f>_xlfn.COUNTIFS(Испанский_язык!$H$1:$H$1000,5,Испанский_язык!$N$1:$N$1000,"Призер")</f>
        <v>0</v>
      </c>
      <c r="X20" s="2">
        <f>_xlfn.COUNTIFS(Испанский_язык!$H$1:$H$1000,5,Испанский_язык!$N$1:$N$1000,"Победитель")</f>
        <v>0</v>
      </c>
      <c r="Y20" s="2">
        <f>_xlfn.COUNTIFS(Испанский_язык!$H$1:$H$1000,5,Испанский_язык!$N$1:$N$1000,"Победитель",Испанский_язык!$M$1:$M$1000,"100%")</f>
        <v>0</v>
      </c>
      <c r="Z20" s="2">
        <f>_xlfn.COUNTIFS(Испанский_язык!$H$1:$H$1000,5,Испанский_язык!$N$1:$N$1000,"Призер",Испанский_язык!$J$1:$J$1000,"имеются")</f>
        <v>0</v>
      </c>
      <c r="AA20" s="2">
        <f>_xlfn.COUNTIFS(Испанский_язык!$H$1:$H$1000,5,Испанский_язык!$N$1:$N$1000,"Победитель",Испанский_язык!$J$1:$J$1000,"имеются")</f>
        <v>0</v>
      </c>
      <c r="AB20" s="2">
        <f>COUNTIF(Испанский_язык!$H$1:$H$1000,6)</f>
        <v>0</v>
      </c>
      <c r="AC20" s="161">
        <f>_xlfn.COUNTIFS(Испанский_язык!$H$1:$H$1000,6,Испанский_язык!$G$1:$G$1000,"&lt;6")</f>
        <v>0</v>
      </c>
      <c r="AD20" s="161">
        <f>_xlfn.COUNTIFS(Испанский_язык!$H$1:$H$1000,6,Испанский_язык!$J$1:$J$1000,"имеются")</f>
        <v>0</v>
      </c>
      <c r="AE20" s="2">
        <f>_xlfn.COUNTIFS(Испанский_язык!$H$1:$H$1000,6,Испанский_язык!$N$1:$N$1000,"Призер")</f>
        <v>0</v>
      </c>
      <c r="AF20" s="2">
        <f>_xlfn.COUNTIFS(Испанский_язык!$H$1:$H$1000,6,Испанский_язык!$N$1:$N$1000,"Победитель")</f>
        <v>0</v>
      </c>
      <c r="AG20" s="2">
        <f>_xlfn.COUNTIFS(Испанский_язык!$H$1:$H$1000,6,Испанский_язык!$N$1:$N$1000,"Победитель",Испанский_язык!$M$1:$M$1000,"100%")</f>
        <v>0</v>
      </c>
      <c r="AH20" s="2">
        <f>_xlfn.COUNTIFS(Испанский_язык!$H$1:$H$1000,6,Испанский_язык!$N$1:$N$1000,"Призер",Испанский_язык!$J$1:$J$1000,"имеются")</f>
        <v>0</v>
      </c>
      <c r="AI20" s="2">
        <f>_xlfn.COUNTIFS(Испанский_язык!$H$1:$H$1000,6,Испанский_язык!$N$1:$N$1000,"Победитель",Испанский_язык!$J$1:$J$1000,"имеются")</f>
        <v>0</v>
      </c>
      <c r="AJ20" s="2">
        <f>COUNTIF(Испанский_язык!$H$1:$H$1000,7)</f>
        <v>0</v>
      </c>
      <c r="AK20" s="161">
        <f>_xlfn.COUNTIFS(Испанский_язык!$H$1:$H$1000,7,Испанский_язык!$G$1:$G$1000,"&lt;7")</f>
        <v>0</v>
      </c>
      <c r="AL20" s="161">
        <f>_xlfn.COUNTIFS(Испанский_язык!$H$1:$H$1000,7,Испанский_язык!$J$1:$J$1000,"имеются")</f>
        <v>0</v>
      </c>
      <c r="AM20" s="2">
        <f>_xlfn.COUNTIFS(Испанский_язык!$H$1:$H$1000,7,Испанский_язык!$N$1:$N$1000,"Призер")</f>
        <v>0</v>
      </c>
      <c r="AN20" s="2">
        <f>_xlfn.COUNTIFS(Испанский_язык!$H$1:$H$1000,7,Испанский_язык!$N$1:$N$1000,"Победитель")</f>
        <v>0</v>
      </c>
      <c r="AO20" s="2">
        <f>_xlfn.COUNTIFS(Испанский_язык!$H$1:$H$1000,7,Испанский_язык!$N$1:$N$1000,"Победитель",Испанский_язык!$M$1:$M$1000,"100%")</f>
        <v>0</v>
      </c>
      <c r="AP20" s="2">
        <f>_xlfn.COUNTIFS(Испанский_язык!$H$1:$H$1000,7,Испанский_язык!$N$1:$N$1000,"Призер",Испанский_язык!$J$1:$J$1000,"имеются")</f>
        <v>0</v>
      </c>
      <c r="AQ20" s="2">
        <f>_xlfn.COUNTIFS(Испанский_язык!$H$1:$H$1000,7,Испанский_язык!$N$1:$N$1000,"Победитель",Испанский_язык!$J$1:$J$1000,"имеются")</f>
        <v>0</v>
      </c>
      <c r="AR20" s="2">
        <f>COUNTIF(Испанский_язык!$H$1:$H$1000,8)</f>
        <v>0</v>
      </c>
      <c r="AS20" s="161">
        <f>_xlfn.COUNTIFS(Испанский_язык!$H$1:$H$1000,8,Испанский_язык!$G$1:$G$1000,"&lt;8")</f>
        <v>0</v>
      </c>
      <c r="AT20" s="161">
        <f>_xlfn.COUNTIFS(Испанский_язык!$H$1:$H$1000,8,Испанский_язык!$J$1:$J$1000,"имеются")</f>
        <v>0</v>
      </c>
      <c r="AU20" s="2">
        <f>_xlfn.COUNTIFS(Испанский_язык!$H$1:$H$1000,8,Испанский_язык!$N$1:$N$1000,"Призер")</f>
        <v>0</v>
      </c>
      <c r="AV20" s="2">
        <f>_xlfn.COUNTIFS(Испанский_язык!$H$1:$H$1000,8,Испанский_язык!$N$1:$N$1000,"Победитель")</f>
        <v>0</v>
      </c>
      <c r="AW20" s="2">
        <f>_xlfn.COUNTIFS(Испанский_язык!$H$1:$H$1000,8,Испанский_язык!$N$1:$N$1000,"Победитель",Испанский_язык!$M$1:$M$1000,"100%")</f>
        <v>0</v>
      </c>
      <c r="AX20" s="2">
        <f>_xlfn.COUNTIFS(Испанский_язык!$H$1:$H$1000,8,Испанский_язык!$N$1:$N$1000,"Призер",Испанский_язык!$J$1:$J$1000,"имеются")</f>
        <v>0</v>
      </c>
      <c r="AY20" s="2">
        <f>_xlfn.COUNTIFS(Испанский_язык!$H$1:$H$1000,8,Испанский_язык!$N$1:$N$1000,"Победитель",Испанский_язык!$J$1:$J$1000,"имеются")</f>
        <v>0</v>
      </c>
      <c r="AZ20" s="2">
        <f>COUNTIF(Испанский_язык!$H$1:$H$1000,9)</f>
        <v>0</v>
      </c>
      <c r="BA20" s="161">
        <f>_xlfn.COUNTIFS(Испанский_язык!$H$1:$H$1000,9,Испанский_язык!$G$1:$G$1000,"&lt;9")</f>
        <v>0</v>
      </c>
      <c r="BB20" s="161">
        <f>_xlfn.COUNTIFS(Испанский_язык!$H$1:$H$1000,9,Испанский_язык!$J$1:$J$1000,"имеются")</f>
        <v>0</v>
      </c>
      <c r="BC20" s="2">
        <f>_xlfn.COUNTIFS(Испанский_язык!$H$1:$H$1000,9,Испанский_язык!$N$1:$N$1000,"Призер")</f>
        <v>0</v>
      </c>
      <c r="BD20" s="2">
        <f>_xlfn.COUNTIFS(Испанский_язык!$H$1:$H$1000,9,Испанский_язык!$N$1:$N$1000,"Победитель")</f>
        <v>0</v>
      </c>
      <c r="BE20" s="2">
        <f>_xlfn.COUNTIFS(Испанский_язык!$H$1:$H$1000,9,Испанский_язык!$N$1:$N$1000,"Победитель",Испанский_язык!$M$1:$M$1000,"100%")</f>
        <v>0</v>
      </c>
      <c r="BF20" s="2">
        <f>_xlfn.COUNTIFS(Испанский_язык!$H$1:$H$1000,9,Испанский_язык!$N$1:$N$1000,"Призер",Испанский_язык!$J$1:$J$1000,"имеются")</f>
        <v>0</v>
      </c>
      <c r="BG20" s="2">
        <f>_xlfn.COUNTIFS(Испанский_язык!$H$1:$H$1000,9,Испанский_язык!$N$1:$N$1000,"Победитель",Испанский_язык!$J$1:$J$1000,"имеются")</f>
        <v>0</v>
      </c>
      <c r="BH20" s="2">
        <f>COUNTIF(Испанский_язык!$H$1:$H$1000,10)</f>
        <v>0</v>
      </c>
      <c r="BI20" s="161">
        <f>_xlfn.COUNTIFS(Испанский_язык!$H$1:$H$1000,10,Испанский_язык!$G$1:$G$1000,"&lt;10")</f>
        <v>0</v>
      </c>
      <c r="BJ20" s="161">
        <f>_xlfn.COUNTIFS(Испанский_язык!$H$1:$H$1000,10,Испанский_язык!$J$1:$J$1000,"имеются")</f>
        <v>0</v>
      </c>
      <c r="BK20" s="2">
        <f>_xlfn.COUNTIFS(Испанский_язык!$H$1:$H$1000,10,Испанский_язык!$N$1:$N$1000,"Призер")</f>
        <v>0</v>
      </c>
      <c r="BL20" s="2">
        <f>_xlfn.COUNTIFS(Испанский_язык!$H$1:$H$1000,10,Испанский_язык!$N$1:$N$1000,"Победитель")</f>
        <v>0</v>
      </c>
      <c r="BM20" s="2">
        <f>_xlfn.COUNTIFS(Испанский_язык!$H$1:$H$1000,10,Испанский_язык!$N$1:$N$1000,"Победитель",Испанский_язык!$M$1:$M$1000,"100%")</f>
        <v>0</v>
      </c>
      <c r="BN20" s="2">
        <f>_xlfn.COUNTIFS(Испанский_язык!$H$1:$H$1000,10,Испанский_язык!$N$1:$N$1000,"Призер",Испанский_язык!$J$1:$J$1000,"имеются")</f>
        <v>0</v>
      </c>
      <c r="BO20" s="2">
        <f>_xlfn.COUNTIFS(Испанский_язык!$H$1:$H$1000,10,Испанский_язык!$N$1:$N$1000,"Победитель",Испанский_язык!$J$1:$J$1000,"имеются")</f>
        <v>0</v>
      </c>
      <c r="BP20" s="2">
        <f>COUNTIF(Испанский_язык!$H$1:$H$1000,11)</f>
        <v>0</v>
      </c>
      <c r="BQ20" s="161">
        <f>_xlfn.COUNTIFS(Испанский_язык!$H$1:$H$1000,11,Испанский_язык!$G$1:$G$1000,"&lt;11")</f>
        <v>0</v>
      </c>
      <c r="BR20" s="161">
        <f>_xlfn.COUNTIFS(Испанский_язык!$H$1:$H$1000,11,Испанский_язык!$J$1:$J$1000,"имеются")</f>
        <v>0</v>
      </c>
      <c r="BS20" s="2">
        <f>_xlfn.COUNTIFS(Испанский_язык!$H$1:$H$1000,11,Испанский_язык!$N$1:$N$1000,"Призер")</f>
        <v>0</v>
      </c>
      <c r="BT20" s="2">
        <f>_xlfn.COUNTIFS(Испанский_язык!$H$1:$H$1000,11,Испанский_язык!$N$1:$N$1000,"Победитель")</f>
        <v>0</v>
      </c>
      <c r="BU20" s="2">
        <f>_xlfn.COUNTIFS(Испанский_язык!$H$1:$H$1000,11,Испанский_язык!$N$1:$N$1000,"Победитель",Испанский_язык!$M$1:$M$1000,"100%")</f>
        <v>0</v>
      </c>
      <c r="BV20" s="2">
        <f>_xlfn.COUNTIFS(Испанский_язык!$H$1:$H$1000,11,Испанский_язык!$N$1:$N$1000,"Призер",Испанский_язык!$J$1:$J$1000,"имеются")</f>
        <v>0</v>
      </c>
      <c r="BW20" s="2">
        <f>_xlfn.COUNTIFS(Испанский_язык!$H$1:$H$1000,11,Испанский_язык!$N$1:$N$1000,"Победитель",Испанский_язык!$J$1:$J$1000,"имеются")</f>
        <v>0</v>
      </c>
      <c r="BX20" s="97" t="e">
        <f t="shared" si="7"/>
        <v>#DIV/0!</v>
      </c>
      <c r="BY20" s="302">
        <f>IF(Испанский_язык!$S$1="1","Нет даты рождения","")</f>
      </c>
    </row>
    <row r="21" spans="1:77" ht="12.75">
      <c r="A21" s="33">
        <v>8</v>
      </c>
      <c r="B21" s="31" t="s">
        <v>25</v>
      </c>
      <c r="C21" s="14">
        <f t="shared" si="0"/>
        <v>1</v>
      </c>
      <c r="D21" s="2">
        <f t="shared" si="1"/>
        <v>7</v>
      </c>
      <c r="E21" s="2">
        <f t="shared" si="2"/>
        <v>0</v>
      </c>
      <c r="F21" s="2">
        <f t="shared" si="3"/>
        <v>0</v>
      </c>
      <c r="G21" s="2">
        <f>IF(SUM(W21,AE21,AM21,AU21,BC21,BK21,BS21)&lt;&gt;COUNTIF(История!$N$1:$N$1000,"Призер"),"Ошибка",SUM(W21,AE21,AM21,AU21,BC21,BK21,BS21))</f>
        <v>0</v>
      </c>
      <c r="H21" s="2">
        <f>IF(SUM(X21,AF21,AN21,AV21,BD21,BL21,BT21)&lt;&gt;COUNTIF(История!$N$1:$N$1000,"Победитель"),"Ошибка",SUM(X21,AF21,AN21,AV21,BD21,BL21,BT21))</f>
        <v>0</v>
      </c>
      <c r="I21" s="2">
        <f t="shared" si="4"/>
        <v>0</v>
      </c>
      <c r="J21" s="2">
        <f t="shared" si="5"/>
        <v>0</v>
      </c>
      <c r="K21" s="2">
        <f t="shared" si="6"/>
        <v>0</v>
      </c>
      <c r="L21" s="2"/>
      <c r="M21" s="2"/>
      <c r="N21" s="2"/>
      <c r="O21" s="2"/>
      <c r="P21" s="2"/>
      <c r="Q21" s="2"/>
      <c r="R21" s="2"/>
      <c r="S21" s="2"/>
      <c r="T21" s="2">
        <f>COUNTIF(История!$H$1:$H$1000,5)</f>
        <v>0</v>
      </c>
      <c r="U21" s="161">
        <f>_xlfn.COUNTIFS(История!$H$1:$H$1000,5,История!$G$1:$G$1000,"&lt;5")</f>
        <v>0</v>
      </c>
      <c r="V21" s="161">
        <f>_xlfn.COUNTIFS(История!$H$1:$H$1000,5,История!$J$1:$J$1000,"имеются")</f>
        <v>0</v>
      </c>
      <c r="W21" s="2">
        <f>_xlfn.COUNTIFS(История!$H$1:$H$1000,5,История!$N$1:$N$1000,"Призер")</f>
        <v>0</v>
      </c>
      <c r="X21" s="2">
        <f>_xlfn.COUNTIFS(История!$H$1:$H$1000,5,История!$N$1:$N$1000,"Победитель")</f>
        <v>0</v>
      </c>
      <c r="Y21" s="2">
        <f>_xlfn.COUNTIFS(История!$H$1:$H$1000,5,История!$N$1:$N$1000,"Победитель",История!$M$1:$M$1000,"100%")</f>
        <v>0</v>
      </c>
      <c r="Z21" s="2">
        <f>_xlfn.COUNTIFS(История!$H$1:$H$1000,5,История!$N$1:$N$1000,"Призер",История!$J$1:$J$1000,"имеются")</f>
        <v>0</v>
      </c>
      <c r="AA21" s="2">
        <f>_xlfn.COUNTIFS(История!$H$1:$H$1000,5,История!$N$1:$N$1000,"Победитель",История!$J$1:$J$1000,"имеются")</f>
        <v>0</v>
      </c>
      <c r="AB21" s="2">
        <f>COUNTIF(История!$H$1:$H$1000,6)</f>
        <v>0</v>
      </c>
      <c r="AC21" s="161">
        <f>_xlfn.COUNTIFS(История!$H$1:$H$1000,6,История!$G$1:$G$1000,"&lt;6")</f>
        <v>0</v>
      </c>
      <c r="AD21" s="161">
        <f>_xlfn.COUNTIFS(История!$H$1:$H$1000,6,История!$J$1:$J$1000,"имеются")</f>
        <v>0</v>
      </c>
      <c r="AE21" s="2">
        <f>_xlfn.COUNTIFS(История!$H$1:$H$1000,6,История!$N$1:$N$1000,"Призер")</f>
        <v>0</v>
      </c>
      <c r="AF21" s="2">
        <f>_xlfn.COUNTIFS(История!$H$1:$H$1000,6,История!$N$1:$N$1000,"Победитель")</f>
        <v>0</v>
      </c>
      <c r="AG21" s="2">
        <f>_xlfn.COUNTIFS(История!$H$1:$H$1000,6,История!$N$1:$N$1000,"Победитель",История!$M$1:$M$1000,"100%")</f>
        <v>0</v>
      </c>
      <c r="AH21" s="2">
        <f>_xlfn.COUNTIFS(История!$H$1:$H$1000,6,История!$N$1:$N$1000,"Призер",История!$J$1:$J$1000,"имеются")</f>
        <v>0</v>
      </c>
      <c r="AI21" s="2">
        <f>_xlfn.COUNTIFS(История!$H$1:$H$1000,6,История!$N$1:$N$1000,"Победитель",История!$J$1:$J$1000,"имеются")</f>
        <v>0</v>
      </c>
      <c r="AJ21" s="2">
        <f>COUNTIF(История!$H$1:$H$1000,7)</f>
        <v>0</v>
      </c>
      <c r="AK21" s="161">
        <f>_xlfn.COUNTIFS(История!$H$1:$H$1000,7,История!$G$1:$G$1000,"&lt;7")</f>
        <v>0</v>
      </c>
      <c r="AL21" s="161">
        <f>_xlfn.COUNTIFS(История!$H$1:$H$1000,7,История!$J$1:$J$1000,"имеются")</f>
        <v>0</v>
      </c>
      <c r="AM21" s="2">
        <f>_xlfn.COUNTIFS(История!$H$1:$H$1000,7,История!$N$1:$N$1000,"Призер")</f>
        <v>0</v>
      </c>
      <c r="AN21" s="2">
        <f>_xlfn.COUNTIFS(История!$H$1:$H$1000,7,История!$N$1:$N$1000,"Победитель")</f>
        <v>0</v>
      </c>
      <c r="AO21" s="2">
        <f>_xlfn.COUNTIFS(История!$H$1:$H$1000,7,История!$N$1:$N$1000,"Победитель",История!$M$1:$M$1000,"100%")</f>
        <v>0</v>
      </c>
      <c r="AP21" s="2">
        <f>_xlfn.COUNTIFS(История!$H$1:$H$1000,7,История!$N$1:$N$1000,"Призер",История!$J$1:$J$1000,"имеются")</f>
        <v>0</v>
      </c>
      <c r="AQ21" s="2">
        <f>_xlfn.COUNTIFS(История!$H$1:$H$1000,7,История!$N$1:$N$1000,"Победитель",История!$J$1:$J$1000,"имеются")</f>
        <v>0</v>
      </c>
      <c r="AR21" s="2">
        <f>COUNTIF(История!$H$1:$H$1000,8)</f>
        <v>1</v>
      </c>
      <c r="AS21" s="161">
        <f>_xlfn.COUNTIFS(История!$H$1:$H$1000,8,История!$G$1:$G$1000,"&lt;8")</f>
        <v>0</v>
      </c>
      <c r="AT21" s="161">
        <f>_xlfn.COUNTIFS(История!$H$1:$H$1000,8,История!$J$1:$J$1000,"имеются")</f>
        <v>0</v>
      </c>
      <c r="AU21" s="2">
        <f>_xlfn.COUNTIFS(История!$H$1:$H$1000,8,История!$N$1:$N$1000,"Призер")</f>
        <v>0</v>
      </c>
      <c r="AV21" s="2">
        <f>_xlfn.COUNTIFS(История!$H$1:$H$1000,8,История!$N$1:$N$1000,"Победитель")</f>
        <v>0</v>
      </c>
      <c r="AW21" s="2">
        <f>_xlfn.COUNTIFS(История!$H$1:$H$1000,8,История!$N$1:$N$1000,"Победитель",История!$M$1:$M$1000,"100%")</f>
        <v>0</v>
      </c>
      <c r="AX21" s="2">
        <f>_xlfn.COUNTIFS(История!$H$1:$H$1000,8,История!$N$1:$N$1000,"Призер",История!$J$1:$J$1000,"имеются")</f>
        <v>0</v>
      </c>
      <c r="AY21" s="2">
        <f>_xlfn.COUNTIFS(История!$H$1:$H$1000,8,История!$N$1:$N$1000,"Победитель",История!$J$1:$J$1000,"имеются")</f>
        <v>0</v>
      </c>
      <c r="AZ21" s="2">
        <f>COUNTIF(История!$H$1:$H$1000,9)</f>
        <v>5</v>
      </c>
      <c r="BA21" s="161">
        <f>_xlfn.COUNTIFS(История!$H$1:$H$1000,9,История!$G$1:$G$1000,"&lt;9")</f>
        <v>0</v>
      </c>
      <c r="BB21" s="161">
        <f>_xlfn.COUNTIFS(История!$H$1:$H$1000,9,История!$J$1:$J$1000,"имеются")</f>
        <v>0</v>
      </c>
      <c r="BC21" s="2">
        <f>_xlfn.COUNTIFS(История!$H$1:$H$1000,9,История!$N$1:$N$1000,"Призер")</f>
        <v>0</v>
      </c>
      <c r="BD21" s="2">
        <f>_xlfn.COUNTIFS(История!$H$1:$H$1000,9,История!$N$1:$N$1000,"Победитель")</f>
        <v>0</v>
      </c>
      <c r="BE21" s="2">
        <f>_xlfn.COUNTIFS(История!$H$1:$H$1000,9,История!$N$1:$N$1000,"Победитель",История!$M$1:$M$1000,"100%")</f>
        <v>0</v>
      </c>
      <c r="BF21" s="2">
        <f>_xlfn.COUNTIFS(История!$H$1:$H$1000,9,История!$N$1:$N$1000,"Призер",История!$J$1:$J$1000,"имеются")</f>
        <v>0</v>
      </c>
      <c r="BG21" s="2">
        <f>_xlfn.COUNTIFS(История!$H$1:$H$1000,9,История!$N$1:$N$1000,"Победитель",История!$J$1:$J$1000,"имеются")</f>
        <v>0</v>
      </c>
      <c r="BH21" s="2">
        <f>COUNTIF(История!$H$1:$H$1000,10)</f>
        <v>0</v>
      </c>
      <c r="BI21" s="161">
        <f>_xlfn.COUNTIFS(История!$H$1:$H$1000,10,История!$G$1:$G$1000,"&lt;10")</f>
        <v>0</v>
      </c>
      <c r="BJ21" s="161">
        <f>_xlfn.COUNTIFS(История!$H$1:$H$1000,10,История!$J$1:$J$1000,"имеются")</f>
        <v>0</v>
      </c>
      <c r="BK21" s="2">
        <f>_xlfn.COUNTIFS(История!$H$1:$H$1000,10,История!$N$1:$N$1000,"Призер")</f>
        <v>0</v>
      </c>
      <c r="BL21" s="2">
        <f>_xlfn.COUNTIFS(История!$H$1:$H$1000,10,История!$N$1:$N$1000,"Победитель")</f>
        <v>0</v>
      </c>
      <c r="BM21" s="2">
        <f>_xlfn.COUNTIFS(История!$H$1:$H$1000,10,История!$N$1:$N$1000,"Победитель",История!$M$1:$M$1000,"100%")</f>
        <v>0</v>
      </c>
      <c r="BN21" s="2">
        <f>_xlfn.COUNTIFS(История!$H$1:$H$1000,10,История!$N$1:$N$1000,"Призер",История!$J$1:$J$1000,"имеются")</f>
        <v>0</v>
      </c>
      <c r="BO21" s="2">
        <f>_xlfn.COUNTIFS(История!$H$1:$H$1000,10,История!$N$1:$N$1000,"Победитель",История!$J$1:$J$1000,"имеются")</f>
        <v>0</v>
      </c>
      <c r="BP21" s="2">
        <f>COUNTIF(История!$H$1:$H$1000,11)</f>
        <v>1</v>
      </c>
      <c r="BQ21" s="161">
        <f>_xlfn.COUNTIFS(История!$H$1:$H$1000,11,История!$G$1:$G$1000,"&lt;11")</f>
        <v>0</v>
      </c>
      <c r="BR21" s="161">
        <f>_xlfn.COUNTIFS(История!$H$1:$H$1000,11,История!$J$1:$J$1000,"имеются")</f>
        <v>0</v>
      </c>
      <c r="BS21" s="2">
        <f>_xlfn.COUNTIFS(История!$H$1:$H$1000,11,История!$N$1:$N$1000,"Призер")</f>
        <v>0</v>
      </c>
      <c r="BT21" s="2">
        <f>_xlfn.COUNTIFS(История!$H$1:$H$1000,11,История!$N$1:$N$1000,"Победитель")</f>
        <v>0</v>
      </c>
      <c r="BU21" s="2">
        <f>_xlfn.COUNTIFS(История!$H$1:$H$1000,11,История!$N$1:$N$1000,"Победитель",История!$M$1:$M$1000,"100%")</f>
        <v>0</v>
      </c>
      <c r="BV21" s="2">
        <f>_xlfn.COUNTIFS(История!$H$1:$H$1000,11,История!$N$1:$N$1000,"Призер",История!$J$1:$J$1000,"имеются")</f>
        <v>0</v>
      </c>
      <c r="BW21" s="2">
        <f>_xlfn.COUNTIFS(История!$H$1:$H$1000,11,История!$N$1:$N$1000,"Победитель",История!$J$1:$J$1000,"имеются")</f>
        <v>0</v>
      </c>
      <c r="BX21" s="97">
        <f t="shared" si="7"/>
        <v>0</v>
      </c>
      <c r="BY21" s="302">
        <f>IF(История!$S$1="1","Нет даты рождения","")</f>
      </c>
    </row>
    <row r="22" spans="1:77" ht="12.75">
      <c r="A22" s="33">
        <v>9</v>
      </c>
      <c r="B22" s="31" t="s">
        <v>85</v>
      </c>
      <c r="C22" s="14">
        <f t="shared" si="0"/>
        <v>0</v>
      </c>
      <c r="D22" s="2">
        <f t="shared" si="1"/>
        <v>0</v>
      </c>
      <c r="E22" s="2">
        <f t="shared" si="2"/>
        <v>0</v>
      </c>
      <c r="F22" s="2">
        <f t="shared" si="3"/>
        <v>0</v>
      </c>
      <c r="G22" s="2">
        <f>IF(SUM(W22,AE22,AM22,AU22,BC22,BK22,BS22)&lt;&gt;COUNTIF(Итальянский_язык!$N$1:$N$1000,"Призер"),"Ошибка",SUM(W22,AE22,AM22,AU22,BC22,BK22,BS22))</f>
        <v>0</v>
      </c>
      <c r="H22" s="2">
        <f>IF(SUM(X22,AF22,AN22,AV22,BD22,BL22,BT22)&lt;&gt;COUNTIF(Итальянский_язык!$N$1:$N$1000,"Победитель"),"Ошибка",SUM(X22,AF22,AN22,AV22,BD22,BL22,BT22))</f>
        <v>0</v>
      </c>
      <c r="I22" s="2">
        <f t="shared" si="4"/>
        <v>0</v>
      </c>
      <c r="J22" s="2">
        <f t="shared" si="5"/>
        <v>0</v>
      </c>
      <c r="K22" s="2">
        <f t="shared" si="6"/>
        <v>0</v>
      </c>
      <c r="L22" s="2"/>
      <c r="M22" s="2"/>
      <c r="N22" s="2"/>
      <c r="O22" s="2"/>
      <c r="P22" s="2"/>
      <c r="Q22" s="2"/>
      <c r="R22" s="2"/>
      <c r="S22" s="2"/>
      <c r="T22" s="2">
        <f>COUNTIF(Итальянский_язык!$H$1:$H$1000,5)</f>
        <v>0</v>
      </c>
      <c r="U22" s="161">
        <f>_xlfn.COUNTIFS(Итальянский_язык!$H$1:$H$1000,5,Итальянский_язык!$G$1:$G$1000,"&lt;5")</f>
        <v>0</v>
      </c>
      <c r="V22" s="161">
        <f>_xlfn.COUNTIFS(Итальянский_язык!$H$1:$H$1000,5,Итальянский_язык!$J$1:$J$1000,"имеются")</f>
        <v>0</v>
      </c>
      <c r="W22" s="2">
        <f>_xlfn.COUNTIFS(Итальянский_язык!$H$1:$H$1000,5,Итальянский_язык!$N$1:$N$1000,"Призер")</f>
        <v>0</v>
      </c>
      <c r="X22" s="2">
        <f>_xlfn.COUNTIFS(Итальянский_язык!$H$1:$H$1000,5,Итальянский_язык!$N$1:$N$1000,"Победитель")</f>
        <v>0</v>
      </c>
      <c r="Y22" s="2">
        <f>_xlfn.COUNTIFS(Итальянский_язык!$H$1:$H$1000,5,Итальянский_язык!$N$1:$N$1000,"Победитель",Итальянский_язык!$M$1:$M$1000,"100%")</f>
        <v>0</v>
      </c>
      <c r="Z22" s="2">
        <f>_xlfn.COUNTIFS(Итальянский_язык!$H$1:$H$1000,5,Итальянский_язык!$N$1:$N$1000,"Призер",Итальянский_язык!$J$1:$J$1000,"имеются")</f>
        <v>0</v>
      </c>
      <c r="AA22" s="2">
        <f>_xlfn.COUNTIFS(Итальянский_язык!$H$1:$H$1000,5,Итальянский_язык!$N$1:$N$1000,"Победитель",Итальянский_язык!$J$1:$J$1000,"имеются")</f>
        <v>0</v>
      </c>
      <c r="AB22" s="2">
        <f>COUNTIF(Итальянский_язык!$H$1:$H$1000,6)</f>
        <v>0</v>
      </c>
      <c r="AC22" s="161">
        <f>_xlfn.COUNTIFS(Итальянский_язык!$H$1:$H$1000,6,Итальянский_язык!$G$1:$G$1000,"&lt;6")</f>
        <v>0</v>
      </c>
      <c r="AD22" s="161">
        <f>_xlfn.COUNTIFS(Итальянский_язык!$H$1:$H$1000,6,Итальянский_язык!$J$1:$J$1000,"имеются")</f>
        <v>0</v>
      </c>
      <c r="AE22" s="2">
        <f>_xlfn.COUNTIFS(Итальянский_язык!$H$1:$H$1000,6,Итальянский_язык!$N$1:$N$1000,"Призер")</f>
        <v>0</v>
      </c>
      <c r="AF22" s="2">
        <f>_xlfn.COUNTIFS(Итальянский_язык!$H$1:$H$1000,6,Итальянский_язык!$N$1:$N$1000,"Победитель")</f>
        <v>0</v>
      </c>
      <c r="AG22" s="2">
        <f>_xlfn.COUNTIFS(Итальянский_язык!$H$1:$H$1000,6,Итальянский_язык!$N$1:$N$1000,"Победитель",Итальянский_язык!$M$1:$M$1000,"100%")</f>
        <v>0</v>
      </c>
      <c r="AH22" s="2">
        <f>_xlfn.COUNTIFS(Итальянский_язык!$H$1:$H$1000,6,Итальянский_язык!$N$1:$N$1000,"Призер",Итальянский_язык!$J$1:$J$1000,"имеются")</f>
        <v>0</v>
      </c>
      <c r="AI22" s="2">
        <f>_xlfn.COUNTIFS(Итальянский_язык!$H$1:$H$1000,6,Итальянский_язык!$N$1:$N$1000,"Победитель",Итальянский_язык!$J$1:$J$1000,"имеются")</f>
        <v>0</v>
      </c>
      <c r="AJ22" s="2">
        <f>COUNTIF(Итальянский_язык!$H$1:$H$1000,7)</f>
        <v>0</v>
      </c>
      <c r="AK22" s="161">
        <f>_xlfn.COUNTIFS(Итальянский_язык!$H$1:$H$1000,7,Итальянский_язык!$G$1:$G$1000,"&lt;7")</f>
        <v>0</v>
      </c>
      <c r="AL22" s="161">
        <f>_xlfn.COUNTIFS(Итальянский_язык!$H$1:$H$1000,7,Итальянский_язык!$J$1:$J$1000,"имеются")</f>
        <v>0</v>
      </c>
      <c r="AM22" s="2">
        <f>_xlfn.COUNTIFS(Итальянский_язык!$H$1:$H$1000,7,Итальянский_язык!$N$1:$N$1000,"Призер")</f>
        <v>0</v>
      </c>
      <c r="AN22" s="2">
        <f>_xlfn.COUNTIFS(Итальянский_язык!$H$1:$H$1000,7,Итальянский_язык!$N$1:$N$1000,"Победитель")</f>
        <v>0</v>
      </c>
      <c r="AO22" s="2">
        <f>_xlfn.COUNTIFS(Итальянский_язык!$H$1:$H$1000,7,Итальянский_язык!$N$1:$N$1000,"Победитель",Итальянский_язык!$M$1:$M$1000,"100%")</f>
        <v>0</v>
      </c>
      <c r="AP22" s="2">
        <f>_xlfn.COUNTIFS(Итальянский_язык!$H$1:$H$1000,7,Итальянский_язык!$N$1:$N$1000,"Призер",Итальянский_язык!$J$1:$J$1000,"имеются")</f>
        <v>0</v>
      </c>
      <c r="AQ22" s="2">
        <f>_xlfn.COUNTIFS(Итальянский_язык!$H$1:$H$1000,7,Итальянский_язык!$N$1:$N$1000,"Победитель",Итальянский_язык!$J$1:$J$1000,"имеются")</f>
        <v>0</v>
      </c>
      <c r="AR22" s="2">
        <f>COUNTIF(Итальянский_язык!$H$1:$H$1000,8)</f>
        <v>0</v>
      </c>
      <c r="AS22" s="161">
        <f>_xlfn.COUNTIFS(Итальянский_язык!$H$1:$H$1000,8,Итальянский_язык!$G$1:$G$1000,"&lt;8")</f>
        <v>0</v>
      </c>
      <c r="AT22" s="161">
        <f>_xlfn.COUNTIFS(Итальянский_язык!$H$1:$H$1000,8,Итальянский_язык!$J$1:$J$1000,"имеются")</f>
        <v>0</v>
      </c>
      <c r="AU22" s="2">
        <f>_xlfn.COUNTIFS(Итальянский_язык!$H$1:$H$1000,8,Итальянский_язык!$N$1:$N$1000,"Призер")</f>
        <v>0</v>
      </c>
      <c r="AV22" s="2">
        <f>_xlfn.COUNTIFS(Итальянский_язык!$H$1:$H$1000,8,Итальянский_язык!$N$1:$N$1000,"Победитель")</f>
        <v>0</v>
      </c>
      <c r="AW22" s="2">
        <f>_xlfn.COUNTIFS(Итальянский_язык!$H$1:$H$1000,8,Итальянский_язык!$N$1:$N$1000,"Победитель",Итальянский_язык!$M$1:$M$1000,"100%")</f>
        <v>0</v>
      </c>
      <c r="AX22" s="2">
        <f>_xlfn.COUNTIFS(Итальянский_язык!$H$1:$H$1000,8,Итальянский_язык!$N$1:$N$1000,"Призер",Итальянский_язык!$J$1:$J$1000,"имеются")</f>
        <v>0</v>
      </c>
      <c r="AY22" s="2">
        <f>_xlfn.COUNTIFS(Итальянский_язык!$H$1:$H$1000,8,Итальянский_язык!$N$1:$N$1000,"Победитель",Итальянский_язык!$J$1:$J$1000,"имеются")</f>
        <v>0</v>
      </c>
      <c r="AZ22" s="2">
        <f>COUNTIF(Итальянский_язык!$H$1:$H$1000,9)</f>
        <v>0</v>
      </c>
      <c r="BA22" s="161">
        <f>_xlfn.COUNTIFS(Итальянский_язык!$H$1:$H$1000,9,Итальянский_язык!$G$1:$G$1000,"&lt;9")</f>
        <v>0</v>
      </c>
      <c r="BB22" s="161">
        <f>_xlfn.COUNTIFS(Итальянский_язык!$H$1:$H$1000,9,Итальянский_язык!$J$1:$J$1000,"имеются")</f>
        <v>0</v>
      </c>
      <c r="BC22" s="2">
        <f>_xlfn.COUNTIFS(Итальянский_язык!$H$1:$H$1000,9,Итальянский_язык!$N$1:$N$1000,"Призер")</f>
        <v>0</v>
      </c>
      <c r="BD22" s="2">
        <f>_xlfn.COUNTIFS(Итальянский_язык!$H$1:$H$1000,9,Итальянский_язык!$N$1:$N$1000,"Победитель")</f>
        <v>0</v>
      </c>
      <c r="BE22" s="2">
        <f>_xlfn.COUNTIFS(Итальянский_язык!$H$1:$H$1000,9,Итальянский_язык!$N$1:$N$1000,"Победитель",Итальянский_язык!$M$1:$M$1000,"100%")</f>
        <v>0</v>
      </c>
      <c r="BF22" s="2">
        <f>_xlfn.COUNTIFS(Итальянский_язык!$H$1:$H$1000,9,Итальянский_язык!$N$1:$N$1000,"Призер",Итальянский_язык!$J$1:$J$1000,"имеются")</f>
        <v>0</v>
      </c>
      <c r="BG22" s="2">
        <f>_xlfn.COUNTIFS(Итальянский_язык!$H$1:$H$1000,9,Итальянский_язык!$N$1:$N$1000,"Победитель",Итальянский_язык!$J$1:$J$1000,"имеются")</f>
        <v>0</v>
      </c>
      <c r="BH22" s="2">
        <f>COUNTIF(Итальянский_язык!$H$1:$H$1000,10)</f>
        <v>0</v>
      </c>
      <c r="BI22" s="161">
        <f>_xlfn.COUNTIFS(Итальянский_язык!$H$1:$H$1000,10,Итальянский_язык!$G$1:$G$1000,"&lt;10")</f>
        <v>0</v>
      </c>
      <c r="BJ22" s="161">
        <f>_xlfn.COUNTIFS(Итальянский_язык!$H$1:$H$1000,10,Итальянский_язык!$J$1:$J$1000,"имеются")</f>
        <v>0</v>
      </c>
      <c r="BK22" s="2">
        <f>_xlfn.COUNTIFS(Итальянский_язык!$H$1:$H$1000,10,Итальянский_язык!$N$1:$N$1000,"Призер")</f>
        <v>0</v>
      </c>
      <c r="BL22" s="2">
        <f>_xlfn.COUNTIFS(Итальянский_язык!$H$1:$H$1000,10,Итальянский_язык!$N$1:$N$1000,"Победитель")</f>
        <v>0</v>
      </c>
      <c r="BM22" s="2">
        <f>_xlfn.COUNTIFS(Итальянский_язык!$H$1:$H$1000,10,Итальянский_язык!$N$1:$N$1000,"Победитель",Итальянский_язык!$M$1:$M$1000,"100%")</f>
        <v>0</v>
      </c>
      <c r="BN22" s="2">
        <f>_xlfn.COUNTIFS(Итальянский_язык!$H$1:$H$1000,10,Итальянский_язык!$N$1:$N$1000,"Призер",Итальянский_язык!$J$1:$J$1000,"имеются")</f>
        <v>0</v>
      </c>
      <c r="BO22" s="2">
        <f>_xlfn.COUNTIFS(Итальянский_язык!$H$1:$H$1000,10,Итальянский_язык!$N$1:$N$1000,"Победитель",Итальянский_язык!$J$1:$J$1000,"имеются")</f>
        <v>0</v>
      </c>
      <c r="BP22" s="2">
        <f>COUNTIF(Итальянский_язык!$H$1:$H$1000,11)</f>
        <v>0</v>
      </c>
      <c r="BQ22" s="161">
        <f>_xlfn.COUNTIFS(Итальянский_язык!$H$1:$H$1000,11,Итальянский_язык!$G$1:$G$1000,"&lt;11")</f>
        <v>0</v>
      </c>
      <c r="BR22" s="161">
        <f>_xlfn.COUNTIFS(Итальянский_язык!$H$1:$H$1000,11,Итальянский_язык!$J$1:$J$1000,"имеются")</f>
        <v>0</v>
      </c>
      <c r="BS22" s="2">
        <f>_xlfn.COUNTIFS(Итальянский_язык!$H$1:$H$1000,11,Итальянский_язык!$N$1:$N$1000,"Призер")</f>
        <v>0</v>
      </c>
      <c r="BT22" s="2">
        <f>_xlfn.COUNTIFS(Итальянский_язык!$H$1:$H$1000,11,Итальянский_язык!$N$1:$N$1000,"Победитель")</f>
        <v>0</v>
      </c>
      <c r="BU22" s="2">
        <f>_xlfn.COUNTIFS(Итальянский_язык!$H$1:$H$1000,11,Итальянский_язык!$N$1:$N$1000,"Победитель",Итальянский_язык!$M$1:$M$1000,"100%")</f>
        <v>0</v>
      </c>
      <c r="BV22" s="2">
        <f>_xlfn.COUNTIFS(Итальянский_язык!$H$1:$H$1000,11,Итальянский_язык!$N$1:$N$1000,"Призер",Итальянский_язык!$J$1:$J$1000,"имеются")</f>
        <v>0</v>
      </c>
      <c r="BW22" s="2">
        <f>_xlfn.COUNTIFS(Итальянский_язык!$H$1:$H$1000,11,Итальянский_язык!$N$1:$N$1000,"Победитель",Итальянский_язык!$J$1:$J$1000,"имеются")</f>
        <v>0</v>
      </c>
      <c r="BX22" s="97" t="e">
        <f t="shared" si="7"/>
        <v>#DIV/0!</v>
      </c>
      <c r="BY22" s="302">
        <f>IF(Итальянский_язык!$S$1="1","Нет даты рождения","")</f>
      </c>
    </row>
    <row r="23" spans="1:77" ht="12.75">
      <c r="A23" s="33">
        <v>10</v>
      </c>
      <c r="B23" s="31" t="s">
        <v>86</v>
      </c>
      <c r="C23" s="14">
        <f t="shared" si="0"/>
        <v>1</v>
      </c>
      <c r="D23" s="2">
        <f t="shared" si="1"/>
        <v>1</v>
      </c>
      <c r="E23" s="2">
        <f t="shared" si="2"/>
        <v>0</v>
      </c>
      <c r="F23" s="2">
        <f t="shared" si="3"/>
        <v>0</v>
      </c>
      <c r="G23" s="2">
        <f>IF(SUM(W23,AE23,AM23,AU23,BC23,BK23,BS23)&lt;&gt;COUNTIF(Китайский_язык!$N$1:$N$1000,"Призер"),"Ошибка",SUM(W23,AE23,AM23,AU23,BC23,BK23,BS23))</f>
        <v>0</v>
      </c>
      <c r="H23" s="2">
        <f>IF(SUM(X23,AF23,AN23,AV23,BD23,BL23,BT23)&lt;&gt;COUNTIF(Китайский_язык!$N$1:$N$1000,"Победитель"),"Ошибка",SUM(X23,AF23,AN23,AV23,BD23,BL23,BT23))</f>
        <v>0</v>
      </c>
      <c r="I23" s="2">
        <f t="shared" si="4"/>
        <v>0</v>
      </c>
      <c r="J23" s="2">
        <f t="shared" si="5"/>
        <v>0</v>
      </c>
      <c r="K23" s="2">
        <f t="shared" si="6"/>
        <v>0</v>
      </c>
      <c r="L23" s="2"/>
      <c r="M23" s="2"/>
      <c r="N23" s="2"/>
      <c r="O23" s="2"/>
      <c r="P23" s="2"/>
      <c r="Q23" s="2"/>
      <c r="R23" s="2"/>
      <c r="S23" s="2"/>
      <c r="T23" s="2">
        <f>COUNTIF(Китайский_язык!$H$1:$H$1000,5)</f>
        <v>0</v>
      </c>
      <c r="U23" s="161">
        <f>_xlfn.COUNTIFS(Китайский_язык!$H$1:$H$1000,5,Китайский_язык!$G$1:$G$1000,"&lt;5")</f>
        <v>0</v>
      </c>
      <c r="V23" s="161">
        <f>_xlfn.COUNTIFS(Китайский_язык!$H$1:$H$1000,5,Китайский_язык!$J$1:$J$1000,"имеются")</f>
        <v>0</v>
      </c>
      <c r="W23" s="2">
        <f>_xlfn.COUNTIFS(Китайский_язык!$H$1:$H$1000,5,Китайский_язык!$N$1:$N$1000,"Призер")</f>
        <v>0</v>
      </c>
      <c r="X23" s="2">
        <f>_xlfn.COUNTIFS(Китайский_язык!$H$1:$H$1000,5,Китайский_язык!$N$1:$N$1000,"Победитель")</f>
        <v>0</v>
      </c>
      <c r="Y23" s="2">
        <f>_xlfn.COUNTIFS(Китайский_язык!$H$1:$H$1000,5,Китайский_язык!$N$1:$N$1000,"Победитель",Китайский_язык!$M$1:$M$1000,"100%")</f>
        <v>0</v>
      </c>
      <c r="Z23" s="2">
        <f>_xlfn.COUNTIFS(Китайский_язык!$H$1:$H$1000,5,Китайский_язык!$N$1:$N$1000,"Призер",Китайский_язык!$J$1:$J$1000,"имеются")</f>
        <v>0</v>
      </c>
      <c r="AA23" s="2">
        <f>_xlfn.COUNTIFS(Китайский_язык!$H$1:$H$1000,5,Китайский_язык!$N$1:$N$1000,"Победитель",Китайский_язык!$J$1:$J$1000,"имеются")</f>
        <v>0</v>
      </c>
      <c r="AB23" s="2">
        <f>COUNTIF(Китайский_язык!$H$1:$H$1000,6)</f>
        <v>0</v>
      </c>
      <c r="AC23" s="161">
        <f>_xlfn.COUNTIFS(Китайский_язык!$H$1:$H$1000,6,Китайский_язык!$G$1:$G$1000,"&lt;6")</f>
        <v>0</v>
      </c>
      <c r="AD23" s="161">
        <f>_xlfn.COUNTIFS(Китайский_язык!$H$1:$H$1000,6,Китайский_язык!$J$1:$J$1000,"имеются")</f>
        <v>0</v>
      </c>
      <c r="AE23" s="2">
        <f>_xlfn.COUNTIFS(Китайский_язык!$H$1:$H$1000,6,Китайский_язык!$N$1:$N$1000,"Призер")</f>
        <v>0</v>
      </c>
      <c r="AF23" s="2">
        <f>_xlfn.COUNTIFS(Китайский_язык!$H$1:$H$1000,6,Китайский_язык!$N$1:$N$1000,"Победитель")</f>
        <v>0</v>
      </c>
      <c r="AG23" s="2">
        <f>_xlfn.COUNTIFS(Китайский_язык!$H$1:$H$1000,6,Китайский_язык!$N$1:$N$1000,"Победитель",Китайский_язык!$M$1:$M$1000,"100%")</f>
        <v>0</v>
      </c>
      <c r="AH23" s="2">
        <f>_xlfn.COUNTIFS(Китайский_язык!$H$1:$H$1000,6,Китайский_язык!$N$1:$N$1000,"Призер",Китайский_язык!$J$1:$J$1000,"имеются")</f>
        <v>0</v>
      </c>
      <c r="AI23" s="2">
        <f>_xlfn.COUNTIFS(Китайский_язык!$H$1:$H$1000,6,Китайский_язык!$N$1:$N$1000,"Победитель",Китайский_язык!$J$1:$J$1000,"имеются")</f>
        <v>0</v>
      </c>
      <c r="AJ23" s="2">
        <f>COUNTIF(Китайский_язык!$H$1:$H$1000,7)</f>
        <v>1</v>
      </c>
      <c r="AK23" s="161">
        <f>_xlfn.COUNTIFS(Китайский_язык!$H$1:$H$1000,7,Китайский_язык!$G$1:$G$1000,"&lt;7")</f>
        <v>0</v>
      </c>
      <c r="AL23" s="161">
        <f>_xlfn.COUNTIFS(Китайский_язык!$H$1:$H$1000,7,Китайский_язык!$J$1:$J$1000,"имеются")</f>
        <v>0</v>
      </c>
      <c r="AM23" s="2">
        <f>_xlfn.COUNTIFS(Китайский_язык!$H$1:$H$1000,7,Китайский_язык!$N$1:$N$1000,"Призер")</f>
        <v>0</v>
      </c>
      <c r="AN23" s="2">
        <f>_xlfn.COUNTIFS(Китайский_язык!$H$1:$H$1000,7,Китайский_язык!$N$1:$N$1000,"Победитель")</f>
        <v>0</v>
      </c>
      <c r="AO23" s="2">
        <f>_xlfn.COUNTIFS(Китайский_язык!$H$1:$H$1000,7,Китайский_язык!$N$1:$N$1000,"Победитель",Китайский_язык!$M$1:$M$1000,"100%")</f>
        <v>0</v>
      </c>
      <c r="AP23" s="2">
        <f>_xlfn.COUNTIFS(Китайский_язык!$H$1:$H$1000,7,Китайский_язык!$N$1:$N$1000,"Призер",Китайский_язык!$J$1:$J$1000,"имеются")</f>
        <v>0</v>
      </c>
      <c r="AQ23" s="2">
        <f>_xlfn.COUNTIFS(Китайский_язык!$H$1:$H$1000,7,Китайский_язык!$N$1:$N$1000,"Победитель",Китайский_язык!$J$1:$J$1000,"имеются")</f>
        <v>0</v>
      </c>
      <c r="AR23" s="2">
        <f>COUNTIF(Китайский_язык!$H$1:$H$1000,8)</f>
        <v>0</v>
      </c>
      <c r="AS23" s="161">
        <f>_xlfn.COUNTIFS(Китайский_язык!$H$1:$H$1000,8,Китайский_язык!$G$1:$G$1000,"&lt;8")</f>
        <v>0</v>
      </c>
      <c r="AT23" s="161">
        <f>_xlfn.COUNTIFS(Китайский_язык!$H$1:$H$1000,8,Китайский_язык!$J$1:$J$1000,"имеются")</f>
        <v>0</v>
      </c>
      <c r="AU23" s="2">
        <f>_xlfn.COUNTIFS(Китайский_язык!$H$1:$H$1000,8,Китайский_язык!$N$1:$N$1000,"Призер")</f>
        <v>0</v>
      </c>
      <c r="AV23" s="2">
        <f>_xlfn.COUNTIFS(Китайский_язык!$H$1:$H$1000,8,Китайский_язык!$N$1:$N$1000,"Победитель")</f>
        <v>0</v>
      </c>
      <c r="AW23" s="2">
        <f>_xlfn.COUNTIFS(Китайский_язык!$H$1:$H$1000,8,Китайский_язык!$N$1:$N$1000,"Победитель",Китайский_язык!$M$1:$M$1000,"100%")</f>
        <v>0</v>
      </c>
      <c r="AX23" s="2">
        <f>_xlfn.COUNTIFS(Китайский_язык!$H$1:$H$1000,8,Китайский_язык!$N$1:$N$1000,"Призер",Китайский_язык!$J$1:$J$1000,"имеются")</f>
        <v>0</v>
      </c>
      <c r="AY23" s="2">
        <f>_xlfn.COUNTIFS(Китайский_язык!$H$1:$H$1000,8,Китайский_язык!$N$1:$N$1000,"Победитель",Китайский_язык!$J$1:$J$1000,"имеются")</f>
        <v>0</v>
      </c>
      <c r="AZ23" s="2">
        <f>COUNTIF(Китайский_язык!$H$1:$H$1000,9)</f>
        <v>0</v>
      </c>
      <c r="BA23" s="161">
        <f>_xlfn.COUNTIFS(Китайский_язык!$H$1:$H$1000,9,Китайский_язык!$G$1:$G$1000,"&lt;9")</f>
        <v>0</v>
      </c>
      <c r="BB23" s="161">
        <f>_xlfn.COUNTIFS(Китайский_язык!$H$1:$H$1000,9,Китайский_язык!$J$1:$J$1000,"имеются")</f>
        <v>0</v>
      </c>
      <c r="BC23" s="2">
        <f>_xlfn.COUNTIFS(Китайский_язык!$H$1:$H$1000,9,Китайский_язык!$N$1:$N$1000,"Призер")</f>
        <v>0</v>
      </c>
      <c r="BD23" s="2">
        <f>_xlfn.COUNTIFS(Китайский_язык!$H$1:$H$1000,9,Китайский_язык!$N$1:$N$1000,"Победитель")</f>
        <v>0</v>
      </c>
      <c r="BE23" s="2">
        <f>_xlfn.COUNTIFS(Китайский_язык!$H$1:$H$1000,9,Китайский_язык!$N$1:$N$1000,"Победитель",Китайский_язык!$M$1:$M$1000,"100%")</f>
        <v>0</v>
      </c>
      <c r="BF23" s="2">
        <f>_xlfn.COUNTIFS(Китайский_язык!$H$1:$H$1000,9,Китайский_язык!$N$1:$N$1000,"Призер",Китайский_язык!$J$1:$J$1000,"имеются")</f>
        <v>0</v>
      </c>
      <c r="BG23" s="2">
        <f>_xlfn.COUNTIFS(Китайский_язык!$H$1:$H$1000,9,Китайский_язык!$N$1:$N$1000,"Победитель",Китайский_язык!$J$1:$J$1000,"имеются")</f>
        <v>0</v>
      </c>
      <c r="BH23" s="2">
        <f>COUNTIF(Китайский_язык!$H$1:$H$1000,10)</f>
        <v>0</v>
      </c>
      <c r="BI23" s="161">
        <f>_xlfn.COUNTIFS(Китайский_язык!$H$1:$H$1000,10,Китайский_язык!$G$1:$G$1000,"&lt;10")</f>
        <v>0</v>
      </c>
      <c r="BJ23" s="161">
        <f>_xlfn.COUNTIFS(Китайский_язык!$H$1:$H$1000,10,Китайский_язык!$J$1:$J$1000,"имеются")</f>
        <v>0</v>
      </c>
      <c r="BK23" s="2">
        <f>_xlfn.COUNTIFS(Китайский_язык!$H$1:$H$1000,10,Китайский_язык!$N$1:$N$1000,"Призер")</f>
        <v>0</v>
      </c>
      <c r="BL23" s="2">
        <f>_xlfn.COUNTIFS(Китайский_язык!$H$1:$H$1000,10,Китайский_язык!$N$1:$N$1000,"Победитель")</f>
        <v>0</v>
      </c>
      <c r="BM23" s="2">
        <f>_xlfn.COUNTIFS(Китайский_язык!$H$1:$H$1000,10,Китайский_язык!$N$1:$N$1000,"Победитель",Китайский_язык!$M$1:$M$1000,"100%")</f>
        <v>0</v>
      </c>
      <c r="BN23" s="2">
        <f>_xlfn.COUNTIFS(Китайский_язык!$H$1:$H$1000,10,Китайский_язык!$N$1:$N$1000,"Призер",Китайский_язык!$J$1:$J$1000,"имеются")</f>
        <v>0</v>
      </c>
      <c r="BO23" s="2">
        <f>_xlfn.COUNTIFS(Китайский_язык!$H$1:$H$1000,10,Китайский_язык!$N$1:$N$1000,"Победитель",Китайский_язык!$J$1:$J$1000,"имеются")</f>
        <v>0</v>
      </c>
      <c r="BP23" s="2">
        <f>COUNTIF(Китайский_язык!$H$1:$H$1000,11)</f>
        <v>0</v>
      </c>
      <c r="BQ23" s="161">
        <f>_xlfn.COUNTIFS(Китайский_язык!$H$1:$H$1000,11,Китайский_язык!$G$1:$G$1000,"&lt;11")</f>
        <v>0</v>
      </c>
      <c r="BR23" s="161">
        <f>_xlfn.COUNTIFS(Китайский_язык!$H$1:$H$1000,11,Китайский_язык!$J$1:$J$1000,"имеются")</f>
        <v>0</v>
      </c>
      <c r="BS23" s="2">
        <f>_xlfn.COUNTIFS(Китайский_язык!$H$1:$H$1000,11,Китайский_язык!$N$1:$N$1000,"Призер")</f>
        <v>0</v>
      </c>
      <c r="BT23" s="2">
        <f>_xlfn.COUNTIFS(Китайский_язык!$H$1:$H$1000,11,Китайский_язык!$N$1:$N$1000,"Победитель")</f>
        <v>0</v>
      </c>
      <c r="BU23" s="2">
        <f>_xlfn.COUNTIFS(Китайский_язык!$H$1:$H$1000,11,Китайский_язык!$N$1:$N$1000,"Победитель",Китайский_язык!$M$1:$M$1000,"100%")</f>
        <v>0</v>
      </c>
      <c r="BV23" s="2">
        <f>_xlfn.COUNTIFS(Китайский_язык!$H$1:$H$1000,11,Китайский_язык!$N$1:$N$1000,"Призер",Китайский_язык!$J$1:$J$1000,"имеются")</f>
        <v>0</v>
      </c>
      <c r="BW23" s="2">
        <f>_xlfn.COUNTIFS(Китайский_язык!$H$1:$H$1000,11,Китайский_язык!$N$1:$N$1000,"Победитель",Китайский_язык!$J$1:$J$1000,"имеются")</f>
        <v>0</v>
      </c>
      <c r="BX23" s="97">
        <f t="shared" si="7"/>
        <v>0</v>
      </c>
      <c r="BY23" s="303">
        <f>IF(Китайский_язык!$S$1="1","Нет даты рождения","")</f>
      </c>
    </row>
    <row r="24" spans="1:77" ht="12.75">
      <c r="A24" s="33">
        <v>11</v>
      </c>
      <c r="B24" s="31" t="s">
        <v>22</v>
      </c>
      <c r="C24" s="14">
        <f t="shared" si="0"/>
        <v>1</v>
      </c>
      <c r="D24" s="2">
        <f t="shared" si="1"/>
        <v>26</v>
      </c>
      <c r="E24" s="2">
        <f t="shared" si="2"/>
        <v>0</v>
      </c>
      <c r="F24" s="2">
        <f t="shared" si="3"/>
        <v>0</v>
      </c>
      <c r="G24" s="2">
        <f>IF(SUM(W24,AE24,AM24,AU24,BC24,BK24,BS24)&lt;&gt;COUNTIF(Литература!$N$1:$N$1000,"Призер"),"Ошибка",SUM(W24,AE24,AM24,AU24,BC24,BK24,BS24))</f>
        <v>4</v>
      </c>
      <c r="H24" s="2">
        <f>IF(SUM(X24,AF24,AN24,AV24,BD24,BL24,BT24)&lt;&gt;COUNTIF(Литература!$N$1:$N$1000,"Победитель"),"Ошибка",SUM(X24,AF24,AN24,AV24,BD24,BL24,BT24))</f>
        <v>1</v>
      </c>
      <c r="I24" s="2">
        <f t="shared" si="4"/>
        <v>0</v>
      </c>
      <c r="J24" s="2">
        <f t="shared" si="5"/>
        <v>0</v>
      </c>
      <c r="K24" s="2">
        <f t="shared" si="6"/>
        <v>0</v>
      </c>
      <c r="L24" s="2"/>
      <c r="M24" s="2"/>
      <c r="N24" s="2"/>
      <c r="O24" s="2"/>
      <c r="P24" s="2"/>
      <c r="Q24" s="2"/>
      <c r="R24" s="2"/>
      <c r="S24" s="2"/>
      <c r="T24" s="2">
        <f>COUNTIF(Литература!$H$1:$H$1000,5)</f>
        <v>11</v>
      </c>
      <c r="U24" s="161">
        <f>_xlfn.COUNTIFS(Литература!$H$1:$H$1000,5,Литература!$G$1:$G$1000,"&lt;5")</f>
        <v>0</v>
      </c>
      <c r="V24" s="161">
        <f>_xlfn.COUNTIFS(Литература!$H$1:$H$1000,5,Литература!$J$1:$J$1000,"имеются")</f>
        <v>0</v>
      </c>
      <c r="W24" s="2">
        <f>_xlfn.COUNTIFS(Литература!$H$1:$H$1000,5,Литература!$N$1:$N$1000,"Призер")</f>
        <v>1</v>
      </c>
      <c r="X24" s="2">
        <f>_xlfn.COUNTIFS(Литература!$H$1:$H$1000,5,Литература!$N$1:$N$1000,"Победитель")</f>
        <v>1</v>
      </c>
      <c r="Y24" s="2">
        <f>_xlfn.COUNTIFS(Литература!$H$1:$H$1000,5,Литература!$N$1:$N$1000,"Победитель",Литература!$M$1:$M$1000,"100%")</f>
        <v>0</v>
      </c>
      <c r="Z24" s="2">
        <f>_xlfn.COUNTIFS(Литература!$H$1:$H$1000,5,Литература!$N$1:$N$1000,"Призер",Литература!$J$1:$J$1000,"имеются")</f>
        <v>0</v>
      </c>
      <c r="AA24" s="2">
        <f>_xlfn.COUNTIFS(Литература!$H$1:$H$1000,5,Литература!$N$1:$N$1000,"Победитель",Литература!$J$1:$J$1000,"имеются")</f>
        <v>0</v>
      </c>
      <c r="AB24" s="2">
        <f>COUNTIF(Литература!$H$1:$H$1000,6)</f>
        <v>3</v>
      </c>
      <c r="AC24" s="161">
        <f>_xlfn.COUNTIFS(Литература!$H$1:$H$1000,6,Литература!$G$1:$G$1000,"&lt;6")</f>
        <v>0</v>
      </c>
      <c r="AD24" s="161">
        <f>_xlfn.COUNTIFS(Литература!$H$1:$H$1000,6,Литература!$J$1:$J$1000,"имеются")</f>
        <v>0</v>
      </c>
      <c r="AE24" s="2">
        <f>_xlfn.COUNTIFS(Литература!$H$1:$H$1000,6,Литература!$N$1:$N$1000,"Призер")</f>
        <v>1</v>
      </c>
      <c r="AF24" s="2">
        <f>_xlfn.COUNTIFS(Литература!$H$1:$H$1000,6,Литература!$N$1:$N$1000,"Победитель")</f>
        <v>0</v>
      </c>
      <c r="AG24" s="2">
        <f>_xlfn.COUNTIFS(Литература!$H$1:$H$1000,6,Литература!$N$1:$N$1000,"Победитель",Литература!$M$1:$M$1000,"100%")</f>
        <v>0</v>
      </c>
      <c r="AH24" s="2">
        <f>_xlfn.COUNTIFS(Литература!$H$1:$H$1000,6,Литература!$N$1:$N$1000,"Призер",Литература!$J$1:$J$1000,"имеются")</f>
        <v>0</v>
      </c>
      <c r="AI24" s="2">
        <f>_xlfn.COUNTIFS(Литература!$H$1:$H$1000,6,Литература!$N$1:$N$1000,"Победитель",Литература!$J$1:$J$1000,"имеются")</f>
        <v>0</v>
      </c>
      <c r="AJ24" s="2">
        <f>COUNTIF(Литература!$H$1:$H$1000,7)</f>
        <v>3</v>
      </c>
      <c r="AK24" s="161">
        <f>_xlfn.COUNTIFS(Литература!$H$1:$H$1000,7,Литература!$G$1:$G$1000,"&lt;7")</f>
        <v>0</v>
      </c>
      <c r="AL24" s="161">
        <f>_xlfn.COUNTIFS(Литература!$H$1:$H$1000,7,Литература!$J$1:$J$1000,"имеются")</f>
        <v>0</v>
      </c>
      <c r="AM24" s="2">
        <f>_xlfn.COUNTIFS(Литература!$H$1:$H$1000,7,Литература!$N$1:$N$1000,"Призер")</f>
        <v>1</v>
      </c>
      <c r="AN24" s="2">
        <f>_xlfn.COUNTIFS(Литература!$H$1:$H$1000,7,Литература!$N$1:$N$1000,"Победитель")</f>
        <v>0</v>
      </c>
      <c r="AO24" s="2">
        <f>_xlfn.COUNTIFS(Литература!$H$1:$H$1000,7,Литература!$N$1:$N$1000,"Победитель",Литература!$M$1:$M$1000,"100%")</f>
        <v>0</v>
      </c>
      <c r="AP24" s="2">
        <f>_xlfn.COUNTIFS(Литература!$H$1:$H$1000,7,Литература!$N$1:$N$1000,"Призер",Литература!$J$1:$J$1000,"имеются")</f>
        <v>0</v>
      </c>
      <c r="AQ24" s="2">
        <f>_xlfn.COUNTIFS(Литература!$H$1:$H$1000,7,Литература!$N$1:$N$1000,"Победитель",Литература!$J$1:$J$1000,"имеются")</f>
        <v>0</v>
      </c>
      <c r="AR24" s="2">
        <f>COUNTIF(Литература!$H$1:$H$1000,8)</f>
        <v>2</v>
      </c>
      <c r="AS24" s="161">
        <f>_xlfn.COUNTIFS(Литература!$H$1:$H$1000,8,Литература!$G$1:$G$1000,"&lt;8")</f>
        <v>0</v>
      </c>
      <c r="AT24" s="161">
        <f>_xlfn.COUNTIFS(Литература!$H$1:$H$1000,8,Литература!$J$1:$J$1000,"имеются")</f>
        <v>0</v>
      </c>
      <c r="AU24" s="2">
        <f>_xlfn.COUNTIFS(Литература!$H$1:$H$1000,8,Литература!$N$1:$N$1000,"Призер")</f>
        <v>0</v>
      </c>
      <c r="AV24" s="2">
        <f>_xlfn.COUNTIFS(Литература!$H$1:$H$1000,8,Литература!$N$1:$N$1000,"Победитель")</f>
        <v>0</v>
      </c>
      <c r="AW24" s="2">
        <f>_xlfn.COUNTIFS(Литература!$H$1:$H$1000,8,Литература!$N$1:$N$1000,"Победитель",Литература!$M$1:$M$1000,"100%")</f>
        <v>0</v>
      </c>
      <c r="AX24" s="2">
        <f>_xlfn.COUNTIFS(Литература!$H$1:$H$1000,8,Литература!$N$1:$N$1000,"Призер",Литература!$J$1:$J$1000,"имеются")</f>
        <v>0</v>
      </c>
      <c r="AY24" s="2">
        <f>_xlfn.COUNTIFS(Литература!$H$1:$H$1000,8,Литература!$N$1:$N$1000,"Победитель",Литература!$J$1:$J$1000,"имеются")</f>
        <v>0</v>
      </c>
      <c r="AZ24" s="2">
        <f>COUNTIF(Литература!$H$1:$H$1000,9)</f>
        <v>2</v>
      </c>
      <c r="BA24" s="161">
        <f>_xlfn.COUNTIFS(Литература!$H$1:$H$1000,9,Литература!$G$1:$G$1000,"&lt;9")</f>
        <v>0</v>
      </c>
      <c r="BB24" s="161">
        <f>_xlfn.COUNTIFS(Литература!$H$1:$H$1000,9,Литература!$J$1:$J$1000,"имеются")</f>
        <v>0</v>
      </c>
      <c r="BC24" s="2">
        <f>_xlfn.COUNTIFS(Литература!$H$1:$H$1000,9,Литература!$N$1:$N$1000,"Призер")</f>
        <v>0</v>
      </c>
      <c r="BD24" s="2">
        <f>_xlfn.COUNTIFS(Литература!$H$1:$H$1000,9,Литература!$N$1:$N$1000,"Победитель")</f>
        <v>0</v>
      </c>
      <c r="BE24" s="2">
        <f>_xlfn.COUNTIFS(Литература!$H$1:$H$1000,9,Литература!$N$1:$N$1000,"Победитель",Литература!$M$1:$M$1000,"100%")</f>
        <v>0</v>
      </c>
      <c r="BF24" s="2">
        <f>_xlfn.COUNTIFS(Литература!$H$1:$H$1000,9,Литература!$N$1:$N$1000,"Призер",Литература!$J$1:$J$1000,"имеются")</f>
        <v>0</v>
      </c>
      <c r="BG24" s="2">
        <f>_xlfn.COUNTIFS(Литература!$H$1:$H$1000,9,Литература!$N$1:$N$1000,"Победитель",Литература!$J$1:$J$1000,"имеются")</f>
        <v>0</v>
      </c>
      <c r="BH24" s="2">
        <f>COUNTIF(Литература!$H$1:$H$1000,10)</f>
        <v>5</v>
      </c>
      <c r="BI24" s="161">
        <f>_xlfn.COUNTIFS(Литература!$H$1:$H$1000,10,Литература!$G$1:$G$1000,"&lt;10")</f>
        <v>0</v>
      </c>
      <c r="BJ24" s="161">
        <f>_xlfn.COUNTIFS(Литература!$H$1:$H$1000,10,Литература!$J$1:$J$1000,"имеются")</f>
        <v>0</v>
      </c>
      <c r="BK24" s="2">
        <f>_xlfn.COUNTIFS(Литература!$H$1:$H$1000,10,Литература!$N$1:$N$1000,"Призер")</f>
        <v>1</v>
      </c>
      <c r="BL24" s="2">
        <f>_xlfn.COUNTIFS(Литература!$H$1:$H$1000,10,Литература!$N$1:$N$1000,"Победитель")</f>
        <v>0</v>
      </c>
      <c r="BM24" s="2">
        <f>_xlfn.COUNTIFS(Литература!$H$1:$H$1000,10,Литература!$N$1:$N$1000,"Победитель",Литература!$M$1:$M$1000,"100%")</f>
        <v>0</v>
      </c>
      <c r="BN24" s="2">
        <f>_xlfn.COUNTIFS(Литература!$H$1:$H$1000,10,Литература!$N$1:$N$1000,"Призер",Литература!$J$1:$J$1000,"имеются")</f>
        <v>0</v>
      </c>
      <c r="BO24" s="2">
        <f>_xlfn.COUNTIFS(Литература!$H$1:$H$1000,10,Литература!$N$1:$N$1000,"Победитель",Литература!$J$1:$J$1000,"имеются")</f>
        <v>0</v>
      </c>
      <c r="BP24" s="2">
        <f>COUNTIF(Литература!$H$1:$H$1000,11)</f>
        <v>0</v>
      </c>
      <c r="BQ24" s="161">
        <f>_xlfn.COUNTIFS(Литература!$H$1:$H$1000,11,Литература!$G$1:$G$1000,"&lt;11")</f>
        <v>0</v>
      </c>
      <c r="BR24" s="161">
        <f>_xlfn.COUNTIFS(Литература!$H$1:$H$1000,11,Литература!$J$1:$J$1000,"имеются")</f>
        <v>0</v>
      </c>
      <c r="BS24" s="2">
        <f>_xlfn.COUNTIFS(Литература!$H$1:$H$1000,11,Литература!$N$1:$N$1000,"Призер")</f>
        <v>0</v>
      </c>
      <c r="BT24" s="2">
        <f>_xlfn.COUNTIFS(Литература!$H$1:$H$1000,11,Литература!$N$1:$N$1000,"Победитель")</f>
        <v>0</v>
      </c>
      <c r="BU24" s="2">
        <f>_xlfn.COUNTIFS(Литература!$H$1:$H$1000,11,Литература!$N$1:$N$1000,"Победитель",Литература!$M$1:$M$1000,"100%")</f>
        <v>0</v>
      </c>
      <c r="BV24" s="2">
        <f>_xlfn.COUNTIFS(Литература!$H$1:$H$1000,11,Литература!$N$1:$N$1000,"Призер",Литература!$J$1:$J$1000,"имеются")</f>
        <v>0</v>
      </c>
      <c r="BW24" s="2">
        <f>_xlfn.COUNTIFS(Литература!$H$1:$H$1000,11,Литература!$N$1:$N$1000,"Победитель",Литература!$J$1:$J$1000,"имеются")</f>
        <v>0</v>
      </c>
      <c r="BX24" s="97">
        <f t="shared" si="7"/>
        <v>0.19230769230769232</v>
      </c>
      <c r="BY24" s="303">
        <f>IF(Литература!$S$1="1","Нет даты рождения","")</f>
      </c>
    </row>
    <row r="25" spans="1:77" ht="12.75">
      <c r="A25" s="33">
        <v>12</v>
      </c>
      <c r="B25" s="31" t="s">
        <v>10</v>
      </c>
      <c r="C25" s="14">
        <f t="shared" si="0"/>
        <v>1</v>
      </c>
      <c r="D25" s="2">
        <f>L25+T25+AB25+AJ25+AR25+AZ25+BH25+BP25</f>
        <v>63</v>
      </c>
      <c r="E25" s="2">
        <f>M25+U25+AC25+AK25+AS25+BA25+BI25+BQ25</f>
        <v>0</v>
      </c>
      <c r="F25" s="2">
        <f>N25+V25+AD25+AL25+AT25+BB25+BJ25+BR25</f>
        <v>0</v>
      </c>
      <c r="G25" s="2">
        <f>IF(SUM(O25,W25,AE25,AM25,AU25,BC25,BK25,BS25)&lt;&gt;COUNTIF(Математика!$N$1:$N$1000,"Призер"),"Ошибка",SUM(O25,W25,AE25,AM25,AU25,BC25,BK25,BS25))</f>
        <v>8</v>
      </c>
      <c r="H25" s="2">
        <f>IF(SUM(P25,X25,AF25,AN25,AV25,BD25,BL25,BT25)&lt;&gt;COUNTIF(Математика!$N$1:$N$1000,"Победитель"),"Ошибка",SUM(P25,X25,AF25,AN25,AV25,BD25,BL25,BT25))</f>
        <v>5</v>
      </c>
      <c r="I25" s="2">
        <f>Y25+AG25+AO25+AW25+BE25+BM25+BU25</f>
        <v>1</v>
      </c>
      <c r="J25" s="2">
        <f t="shared" si="5"/>
        <v>0</v>
      </c>
      <c r="K25" s="2">
        <f t="shared" si="6"/>
        <v>0</v>
      </c>
      <c r="L25" s="2">
        <f>COUNTIF(Математика!$H$1:$H$1000,4)</f>
        <v>34</v>
      </c>
      <c r="M25" s="161">
        <f>_xlfn.COUNTIFS(Математика!$H$1:$H$1000,4,Математика!$G$1:$G$1000,"&lt;4")</f>
        <v>0</v>
      </c>
      <c r="N25" s="161">
        <f>_xlfn.COUNTIFS(Математика!$H$1:$H$1000,4,Математика!$J$1:$J$1000,"имеются")</f>
        <v>0</v>
      </c>
      <c r="O25" s="2">
        <f>_xlfn.COUNTIFS(Математика!$H$1:$H$1000,4,Математика!$N$1:$N$1000,"Призер")</f>
        <v>4</v>
      </c>
      <c r="P25" s="2">
        <f>_xlfn.COUNTIFS(Математика!$H$1:$H$1000,4,Математика!$N$1:$N$1000,"Победитель")</f>
        <v>3</v>
      </c>
      <c r="Q25" s="2">
        <f>_xlfn.COUNTIFS(Математика!$H$1:$H$1000,4,Математика!$N$1:$N$1000,"Победитель",Математика!$M$1:$M$1000,"100%")</f>
        <v>3</v>
      </c>
      <c r="R25" s="2">
        <f>_xlfn.COUNTIFS(Математика!$H$1:$H$1000,4,Математика!$N$1:$N$1000,"Призер",Математика!$J$1:$J$1000,"имеются")</f>
        <v>0</v>
      </c>
      <c r="S25" s="2">
        <f>_xlfn.COUNTIFS(Математика!$H$1:$H$1000,4,Математика!$N$1:$N$1000,"Победитель",Математика!$J$1:$J$1000,"имеются")</f>
        <v>0</v>
      </c>
      <c r="T25" s="2">
        <f>COUNTIF(Математика!$H$1:$H$1000,5)</f>
        <v>11</v>
      </c>
      <c r="U25" s="161">
        <f>_xlfn.COUNTIFS(Математика!$H$1:$H$1000,5,Математика!$G$1:$G$1000,"&lt;5")</f>
        <v>0</v>
      </c>
      <c r="V25" s="161">
        <f>_xlfn.COUNTIFS(Математика!$H$1:$H$1000,5,Математика!$J$1:$J$1000,"имеются")</f>
        <v>0</v>
      </c>
      <c r="W25" s="2">
        <f>_xlfn.COUNTIFS(Математика!$H$1:$H$1000,5,Математика!$N$1:$N$1000,"Призер")</f>
        <v>1</v>
      </c>
      <c r="X25" s="2">
        <f>_xlfn.COUNTIFS(Математика!$H$1:$H$1000,5,Математика!$N$1:$N$1000,"Победитель")</f>
        <v>1</v>
      </c>
      <c r="Y25" s="2">
        <f>_xlfn.COUNTIFS(Математика!$H$1:$H$1000,5,Математика!$N$1:$N$1000,"Победитель",Математика!$M$1:$M$1000,"100%")</f>
        <v>1</v>
      </c>
      <c r="Z25" s="2">
        <f>_xlfn.COUNTIFS(Математика!$H$1:$H$1000,5,Математика!$N$1:$N$1000,"Призер",Математика!$J$1:$J$1000,"имеются")</f>
        <v>0</v>
      </c>
      <c r="AA25" s="2">
        <f>_xlfn.COUNTIFS(Математика!$H$1:$H$1000,5,Математика!$N$1:$N$1000,"Победитель",Математика!$J$1:$J$1000,"имеются")</f>
        <v>0</v>
      </c>
      <c r="AB25" s="2">
        <f>COUNTIF(Математика!$H$1:$H$1000,6)</f>
        <v>3</v>
      </c>
      <c r="AC25" s="161">
        <f>_xlfn.COUNTIFS(Математика!$H$1:$H$1000,6,Математика!$G$1:$G$1000,"&lt;6")</f>
        <v>0</v>
      </c>
      <c r="AD25" s="161">
        <f>_xlfn.COUNTIFS(Математика!$H$1:$H$1000,6,Математика!$J$1:$J$1000,"имеются")</f>
        <v>0</v>
      </c>
      <c r="AE25" s="2">
        <f>_xlfn.COUNTIFS(Математика!$H$1:$H$1000,6,Математика!$N$1:$N$1000,"Призер")</f>
        <v>1</v>
      </c>
      <c r="AF25" s="2">
        <f>_xlfn.COUNTIFS(Математика!$H$1:$H$1000,6,Математика!$N$1:$N$1000,"Победитель")</f>
        <v>0</v>
      </c>
      <c r="AG25" s="2">
        <f>_xlfn.COUNTIFS(Математика!$H$1:$H$1000,6,Математика!$N$1:$N$1000,"Победитель",Математика!$M$1:$M$1000,"100%")</f>
        <v>0</v>
      </c>
      <c r="AH25" s="2">
        <f>_xlfn.COUNTIFS(Математика!$H$1:$H$1000,6,Математика!$N$1:$N$1000,"Призер",Математика!$J$1:$J$1000,"имеются")</f>
        <v>0</v>
      </c>
      <c r="AI25" s="2">
        <f>_xlfn.COUNTIFS(Математика!$H$1:$H$1000,6,Математика!$N$1:$N$1000,"Победитель",Математика!$J$1:$J$1000,"имеются")</f>
        <v>0</v>
      </c>
      <c r="AJ25" s="2">
        <f>COUNTIF(Математика!$H$1:$H$1000,7)</f>
        <v>5</v>
      </c>
      <c r="AK25" s="161">
        <f>_xlfn.COUNTIFS(Математика!$H$1:$H$1000,7,Математика!$G$1:$G$1000,"&lt;7")</f>
        <v>0</v>
      </c>
      <c r="AL25" s="161">
        <f>_xlfn.COUNTIFS(Математика!$H$1:$H$1000,7,Математика!$J$1:$J$1000,"имеются")</f>
        <v>0</v>
      </c>
      <c r="AM25" s="2">
        <f>_xlfn.COUNTIFS(Математика!$H$1:$H$1000,7,Математика!$N$1:$N$1000,"Призер")</f>
        <v>1</v>
      </c>
      <c r="AN25" s="2">
        <f>_xlfn.COUNTIFS(Математика!$H$1:$H$1000,7,Математика!$N$1:$N$1000,"Победитель")</f>
        <v>1</v>
      </c>
      <c r="AO25" s="2">
        <f>_xlfn.COUNTIFS(Математика!$H$1:$H$1000,7,Математика!$N$1:$N$1000,"Победитель",Математика!$M$1:$M$1000,"100%")</f>
        <v>0</v>
      </c>
      <c r="AP25" s="2">
        <f>_xlfn.COUNTIFS(Математика!$H$1:$H$1000,7,Математика!$N$1:$N$1000,"Призер",Математика!$J$1:$J$1000,"имеются")</f>
        <v>0</v>
      </c>
      <c r="AQ25" s="2">
        <f>_xlfn.COUNTIFS(Математика!$H$1:$H$1000,7,Математика!$N$1:$N$1000,"Победитель",Математика!$J$1:$J$1000,"имеются")</f>
        <v>0</v>
      </c>
      <c r="AR25" s="2">
        <f>COUNTIF(Математика!$H$1:$H$1000,8)</f>
        <v>3</v>
      </c>
      <c r="AS25" s="161">
        <f>_xlfn.COUNTIFS(Математика!$H$1:$H$1000,8,Математика!$G$1:$G$1000,"&lt;8")</f>
        <v>0</v>
      </c>
      <c r="AT25" s="161">
        <f>_xlfn.COUNTIFS(Математика!$H$1:$H$1000,8,Математика!$J$1:$J$1000,"имеются")</f>
        <v>0</v>
      </c>
      <c r="AU25" s="2">
        <f>_xlfn.COUNTIFS(Математика!$H$1:$H$1000,8,Математика!$N$1:$N$1000,"Призер")</f>
        <v>0</v>
      </c>
      <c r="AV25" s="2">
        <f>_xlfn.COUNTIFS(Математика!$H$1:$H$1000,8,Математика!$N$1:$N$1000,"Победитель")</f>
        <v>0</v>
      </c>
      <c r="AW25" s="2">
        <f>_xlfn.COUNTIFS(Математика!$H$1:$H$1000,8,Математика!$N$1:$N$1000,"Победитель",Математика!$M$1:$M$1000,"100%")</f>
        <v>0</v>
      </c>
      <c r="AX25" s="2">
        <f>_xlfn.COUNTIFS(Математика!$H$1:$H$1000,8,Математика!$N$1:$N$1000,"Призер",Математика!$J$1:$J$1000,"имеются")</f>
        <v>0</v>
      </c>
      <c r="AY25" s="2">
        <f>_xlfn.COUNTIFS(Математика!$H$1:$H$1000,8,Математика!$N$1:$N$1000,"Победитель",Математика!$J$1:$J$1000,"имеются")</f>
        <v>0</v>
      </c>
      <c r="AZ25" s="2">
        <f>COUNTIF(Математика!$H$1:$H$1000,9)</f>
        <v>1</v>
      </c>
      <c r="BA25" s="161">
        <f>_xlfn.COUNTIFS(Математика!$H$1:$H$1000,9,Математика!$G$1:$G$1000,"&lt;9")</f>
        <v>0</v>
      </c>
      <c r="BB25" s="161">
        <f>_xlfn.COUNTIFS(Математика!$H$1:$H$1000,9,Математика!$J$1:$J$1000,"имеются")</f>
        <v>0</v>
      </c>
      <c r="BC25" s="2">
        <f>_xlfn.COUNTIFS(Математика!$H$1:$H$1000,9,Математика!$N$1:$N$1000,"Призер")</f>
        <v>0</v>
      </c>
      <c r="BD25" s="2">
        <f>_xlfn.COUNTIFS(Математика!$H$1:$H$1000,9,Математика!$N$1:$N$1000,"Победитель")</f>
        <v>0</v>
      </c>
      <c r="BE25" s="2">
        <f>_xlfn.COUNTIFS(Математика!$H$1:$H$1000,9,Математика!$N$1:$N$1000,"Победитель",Математика!$M$1:$M$1000,"100%")</f>
        <v>0</v>
      </c>
      <c r="BF25" s="2">
        <f>_xlfn.COUNTIFS(Математика!$H$1:$H$1000,9,Математика!$N$1:$N$1000,"Призер",Математика!$J$1:$J$1000,"имеются")</f>
        <v>0</v>
      </c>
      <c r="BG25" s="2">
        <f>_xlfn.COUNTIFS(Математика!$H$1:$H$1000,9,Математика!$N$1:$N$1000,"Победитель",Математика!$J$1:$J$1000,"имеются")</f>
        <v>0</v>
      </c>
      <c r="BH25" s="2">
        <f>COUNTIF(Математика!$H$1:$H$1000,10)</f>
        <v>3</v>
      </c>
      <c r="BI25" s="161">
        <f>_xlfn.COUNTIFS(Математика!$H$1:$H$1000,10,Математика!$G$1:$G$1000,"&lt;10")</f>
        <v>0</v>
      </c>
      <c r="BJ25" s="161">
        <f>_xlfn.COUNTIFS(Математика!$H$1:$H$1000,10,Математика!$J$1:$J$1000,"имеются")</f>
        <v>0</v>
      </c>
      <c r="BK25" s="2">
        <f>_xlfn.COUNTIFS(Математика!$H$1:$H$1000,10,Математика!$N$1:$N$1000,"Призер")</f>
        <v>0</v>
      </c>
      <c r="BL25" s="2">
        <f>_xlfn.COUNTIFS(Математика!$H$1:$H$1000,10,Математика!$N$1:$N$1000,"Победитель")</f>
        <v>0</v>
      </c>
      <c r="BM25" s="2">
        <f>_xlfn.COUNTIFS(Математика!$H$1:$H$1000,10,Математика!$N$1:$N$1000,"Победитель",Математика!$M$1:$M$1000,"100%")</f>
        <v>0</v>
      </c>
      <c r="BN25" s="2">
        <f>_xlfn.COUNTIFS(Математика!$H$1:$H$1000,10,Математика!$N$1:$N$1000,"Призер",Математика!$J$1:$J$1000,"имеются")</f>
        <v>0</v>
      </c>
      <c r="BO25" s="2">
        <f>_xlfn.COUNTIFS(Математика!$H$1:$H$1000,10,Математика!$N$1:$N$1000,"Победитель",Математика!$J$1:$J$1000,"имеются")</f>
        <v>0</v>
      </c>
      <c r="BP25" s="2">
        <f>COUNTIF(Математика!$H$1:$H$1000,11)</f>
        <v>3</v>
      </c>
      <c r="BQ25" s="161">
        <f>_xlfn.COUNTIFS(Математика!$H$1:$H$1000,11,Математика!$G$1:$G$1000,"&lt;11")</f>
        <v>0</v>
      </c>
      <c r="BR25" s="161">
        <f>_xlfn.COUNTIFS(Математика!$H$1:$H$1000,11,Математика!$J$1:$J$1000,"имеются")</f>
        <v>0</v>
      </c>
      <c r="BS25" s="2">
        <f>_xlfn.COUNTIFS(Математика!$H$1:$H$1000,11,Математика!$N$1:$N$1000,"Призер")</f>
        <v>1</v>
      </c>
      <c r="BT25" s="2">
        <f>_xlfn.COUNTIFS(Математика!$H$1:$H$1000,11,Математика!$N$1:$N$1000,"Победитель")</f>
        <v>0</v>
      </c>
      <c r="BU25" s="2">
        <f>_xlfn.COUNTIFS(Математика!$H$1:$H$1000,11,Математика!$N$1:$N$1000,"Победитель",Математика!$M$1:$M$1000,"100%")</f>
        <v>0</v>
      </c>
      <c r="BV25" s="2">
        <f>_xlfn.COUNTIFS(Математика!$H$1:$H$1000,11,Математика!$N$1:$N$1000,"Призер",Математика!$J$1:$J$1000,"имеются")</f>
        <v>0</v>
      </c>
      <c r="BW25" s="2">
        <f>_xlfn.COUNTIFS(Математика!$H$1:$H$1000,11,Математика!$N$1:$N$1000,"Победитель",Математика!$J$1:$J$1000,"имеются")</f>
        <v>0</v>
      </c>
      <c r="BX25" s="97">
        <f t="shared" si="7"/>
        <v>0.20634920634920634</v>
      </c>
      <c r="BY25" s="303">
        <f>IF(Математика!$S$1="1","Нет даты рождения","")</f>
      </c>
    </row>
    <row r="26" spans="1:77" ht="12.75">
      <c r="A26" s="33">
        <v>13</v>
      </c>
      <c r="B26" s="31" t="s">
        <v>15</v>
      </c>
      <c r="C26" s="14">
        <f t="shared" si="0"/>
        <v>0</v>
      </c>
      <c r="D26" s="2">
        <f aca="true" t="shared" si="8" ref="D26:E29">T26+AB26+AJ26+AR26+AZ26+BH26+BP26</f>
        <v>0</v>
      </c>
      <c r="E26" s="2">
        <f t="shared" si="8"/>
        <v>0</v>
      </c>
      <c r="F26" s="2">
        <f t="shared" si="3"/>
        <v>0</v>
      </c>
      <c r="G26" s="2">
        <f>IF(SUM(W26,AE26,AM26,AU26,BC26,BK26,BS26)&lt;&gt;COUNTIF(Немецкий_язык!$N$1:$N$1000,"Призер"),"Ошибка",SUM(W26,AE26,AM26,AU26,BC26,BK26,BS26))</f>
        <v>0</v>
      </c>
      <c r="H26" s="2">
        <f>IF(SUM(X26,AF26,AN26,AV26,BD26,BL26,BT26)&lt;&gt;COUNTIF(Немецкий_язык!$N$1:$N$1000,"Победитель"),"Ошибка",SUM(X26,AF26,AN26,AV26,BD26,BL26,BT26))</f>
        <v>0</v>
      </c>
      <c r="I26" s="2">
        <f>Y26+AG26+AO26+AW26+BE26+BM26+BU26</f>
        <v>0</v>
      </c>
      <c r="J26" s="2">
        <f>Z26+AH26+AP26+AX26+BF26+BN26+BV26</f>
        <v>0</v>
      </c>
      <c r="K26" s="2">
        <f t="shared" si="6"/>
        <v>0</v>
      </c>
      <c r="L26" s="2"/>
      <c r="M26" s="2"/>
      <c r="N26" s="2"/>
      <c r="O26" s="2"/>
      <c r="P26" s="2"/>
      <c r="Q26" s="2"/>
      <c r="R26" s="2"/>
      <c r="S26" s="2"/>
      <c r="T26" s="2">
        <f>COUNTIF(Немецкий_язык!$H$1:$H$1000,5)</f>
        <v>0</v>
      </c>
      <c r="U26" s="161">
        <f>_xlfn.COUNTIFS(Немецкий_язык!$H$1:$H$1000,5,Немецкий_язык!$G$1:$G$1000,"&lt;5")</f>
        <v>0</v>
      </c>
      <c r="V26" s="161">
        <f>_xlfn.COUNTIFS(Немецкий_язык!$H$1:$H$1000,5,Немецкий_язык!$J$1:$J$1000,"имеются")</f>
        <v>0</v>
      </c>
      <c r="W26" s="2">
        <f>_xlfn.COUNTIFS(Немецкий_язык!$H$1:$H$1000,5,Немецкий_язык!$N$1:$N$1000,"Призер")</f>
        <v>0</v>
      </c>
      <c r="X26" s="2">
        <f>_xlfn.COUNTIFS(Немецкий_язык!$H$1:$H$1000,5,Немецкий_язык!$N$1:$N$1000,"Победитель")</f>
        <v>0</v>
      </c>
      <c r="Y26" s="2">
        <f>_xlfn.COUNTIFS(Немецкий_язык!$H$1:$H$1000,5,Немецкий_язык!$N$1:$N$1000,"Победитель",Немецкий_язык!$M$1:$M$1000,"100%")</f>
        <v>0</v>
      </c>
      <c r="Z26" s="2">
        <f>_xlfn.COUNTIFS(Немецкий_язык!$H$1:$H$1000,5,Немецкий_язык!$N$1:$N$1000,"Призер",Немецкий_язык!$J$1:$J$1000,"имеются")</f>
        <v>0</v>
      </c>
      <c r="AA26" s="2">
        <f>_xlfn.COUNTIFS(Немецкий_язык!$H$1:$H$1000,5,Немецкий_язык!$N$1:$N$1000,"Победитель",Немецкий_язык!$J$1:$J$1000,"имеются")</f>
        <v>0</v>
      </c>
      <c r="AB26" s="2">
        <f>COUNTIF(Немецкий_язык!$H$1:$H$1000,6)</f>
        <v>0</v>
      </c>
      <c r="AC26" s="161">
        <f>_xlfn.COUNTIFS(Немецкий_язык!$H$1:$H$1000,6,Немецкий_язык!$G$1:$G$1000,"&lt;6")</f>
        <v>0</v>
      </c>
      <c r="AD26" s="161">
        <f>_xlfn.COUNTIFS(Немецкий_язык!$H$1:$H$1000,6,Немецкий_язык!$J$1:$J$1000,"имеются")</f>
        <v>0</v>
      </c>
      <c r="AE26" s="2">
        <f>_xlfn.COUNTIFS(Немецкий_язык!$H$1:$H$1000,6,Немецкий_язык!$N$1:$N$1000,"Призер")</f>
        <v>0</v>
      </c>
      <c r="AF26" s="2">
        <f>_xlfn.COUNTIFS(Немецкий_язык!$H$1:$H$1000,6,Немецкий_язык!$N$1:$N$1000,"Победитель")</f>
        <v>0</v>
      </c>
      <c r="AG26" s="2">
        <f>_xlfn.COUNTIFS(Немецкий_язык!$H$1:$H$1000,6,Немецкий_язык!$N$1:$N$1000,"Победитель",Немецкий_язык!$M$1:$M$1000,"100%")</f>
        <v>0</v>
      </c>
      <c r="AH26" s="2">
        <f>_xlfn.COUNTIFS(Немецкий_язык!$H$1:$H$1000,6,Немецкий_язык!$N$1:$N$1000,"Призер",Немецкий_язык!$J$1:$J$1000,"имеются")</f>
        <v>0</v>
      </c>
      <c r="AI26" s="2">
        <f>_xlfn.COUNTIFS(Немецкий_язык!$H$1:$H$1000,6,Немецкий_язык!$N$1:$N$1000,"Победитель",Немецкий_язык!$J$1:$J$1000,"имеются")</f>
        <v>0</v>
      </c>
      <c r="AJ26" s="2">
        <f>COUNTIF(Немецкий_язык!$H$1:$H$1000,7)</f>
        <v>0</v>
      </c>
      <c r="AK26" s="161">
        <f>_xlfn.COUNTIFS(Немецкий_язык!$H$1:$H$1000,7,Немецкий_язык!$G$1:$G$1000,"&lt;7")</f>
        <v>0</v>
      </c>
      <c r="AL26" s="161">
        <f>_xlfn.COUNTIFS(Немецкий_язык!$H$1:$H$1000,7,Немецкий_язык!$J$1:$J$1000,"имеются")</f>
        <v>0</v>
      </c>
      <c r="AM26" s="2">
        <f>_xlfn.COUNTIFS(Немецкий_язык!$H$1:$H$1000,7,Немецкий_язык!$N$1:$N$1000,"Призер")</f>
        <v>0</v>
      </c>
      <c r="AN26" s="2">
        <f>_xlfn.COUNTIFS(Немецкий_язык!$H$1:$H$1000,7,Немецкий_язык!$N$1:$N$1000,"Победитель")</f>
        <v>0</v>
      </c>
      <c r="AO26" s="2">
        <f>_xlfn.COUNTIFS(Немецкий_язык!$H$1:$H$1000,7,Немецкий_язык!$N$1:$N$1000,"Победитель",Немецкий_язык!$M$1:$M$1000,"100%")</f>
        <v>0</v>
      </c>
      <c r="AP26" s="2">
        <f>_xlfn.COUNTIFS(Немецкий_язык!$H$1:$H$1000,7,Немецкий_язык!$N$1:$N$1000,"Призер",Немецкий_язык!$J$1:$J$1000,"имеются")</f>
        <v>0</v>
      </c>
      <c r="AQ26" s="2">
        <f>_xlfn.COUNTIFS(Немецкий_язык!$H$1:$H$1000,7,Немецкий_язык!$N$1:$N$1000,"Победитель",Немецкий_язык!$J$1:$J$1000,"имеются")</f>
        <v>0</v>
      </c>
      <c r="AR26" s="2">
        <f>COUNTIF(Немецкий_язык!$H$1:$H$1000,8)</f>
        <v>0</v>
      </c>
      <c r="AS26" s="161">
        <f>_xlfn.COUNTIFS(Немецкий_язык!$H$1:$H$1000,8,Немецкий_язык!$G$1:$G$1000,"&lt;8")</f>
        <v>0</v>
      </c>
      <c r="AT26" s="161">
        <f>_xlfn.COUNTIFS(Немецкий_язык!$H$1:$H$1000,8,Немецкий_язык!$J$1:$J$1000,"имеются")</f>
        <v>0</v>
      </c>
      <c r="AU26" s="2">
        <f>_xlfn.COUNTIFS(Немецкий_язык!$H$1:$H$1000,8,Немецкий_язык!$N$1:$N$1000,"Призер")</f>
        <v>0</v>
      </c>
      <c r="AV26" s="2">
        <f>_xlfn.COUNTIFS(Немецкий_язык!$H$1:$H$1000,8,Немецкий_язык!$N$1:$N$1000,"Победитель")</f>
        <v>0</v>
      </c>
      <c r="AW26" s="2">
        <f>_xlfn.COUNTIFS(Немецкий_язык!$H$1:$H$1000,8,Немецкий_язык!$N$1:$N$1000,"Победитель",Немецкий_язык!$M$1:$M$1000,"100%")</f>
        <v>0</v>
      </c>
      <c r="AX26" s="2">
        <f>_xlfn.COUNTIFS(Немецкий_язык!$H$1:$H$1000,8,Немецкий_язык!$N$1:$N$1000,"Призер",Немецкий_язык!$J$1:$J$1000,"имеются")</f>
        <v>0</v>
      </c>
      <c r="AY26" s="2">
        <f>_xlfn.COUNTIFS(Немецкий_язык!$H$1:$H$1000,8,Немецкий_язык!$N$1:$N$1000,"Победитель",Немецкий_язык!$J$1:$J$1000,"имеются")</f>
        <v>0</v>
      </c>
      <c r="AZ26" s="2">
        <f>COUNTIF(Немецкий_язык!$H$1:$H$1000,9)</f>
        <v>0</v>
      </c>
      <c r="BA26" s="161">
        <f>_xlfn.COUNTIFS(Немецкий_язык!$H$1:$H$1000,9,Немецкий_язык!$G$1:$G$1000,"&lt;9")</f>
        <v>0</v>
      </c>
      <c r="BB26" s="161">
        <f>_xlfn.COUNTIFS(Немецкий_язык!$H$1:$H$1000,9,Немецкий_язык!$J$1:$J$1000,"имеются")</f>
        <v>0</v>
      </c>
      <c r="BC26" s="2">
        <f>_xlfn.COUNTIFS(Немецкий_язык!$H$1:$H$1000,9,Немецкий_язык!$N$1:$N$1000,"Призер")</f>
        <v>0</v>
      </c>
      <c r="BD26" s="2">
        <f>_xlfn.COUNTIFS(Немецкий_язык!$H$1:$H$1000,9,Немецкий_язык!$N$1:$N$1000,"Победитель")</f>
        <v>0</v>
      </c>
      <c r="BE26" s="2">
        <f>_xlfn.COUNTIFS(Немецкий_язык!$H$1:$H$1000,9,Немецкий_язык!$N$1:$N$1000,"Победитель",Немецкий_язык!$M$1:$M$1000,"100%")</f>
        <v>0</v>
      </c>
      <c r="BF26" s="2">
        <f>_xlfn.COUNTIFS(Немецкий_язык!$H$1:$H$1000,9,Немецкий_язык!$N$1:$N$1000,"Призер",Немецкий_язык!$J$1:$J$1000,"имеются")</f>
        <v>0</v>
      </c>
      <c r="BG26" s="2">
        <f>_xlfn.COUNTIFS(Немецкий_язык!$H$1:$H$1000,9,Немецкий_язык!$N$1:$N$1000,"Победитель",Немецкий_язык!$J$1:$J$1000,"имеются")</f>
        <v>0</v>
      </c>
      <c r="BH26" s="2">
        <f>COUNTIF(Немецкий_язык!$H$1:$H$1000,10)</f>
        <v>0</v>
      </c>
      <c r="BI26" s="161">
        <f>_xlfn.COUNTIFS(Немецкий_язык!$H$1:$H$1000,10,Немецкий_язык!$G$1:$G$1000,"&lt;10")</f>
        <v>0</v>
      </c>
      <c r="BJ26" s="161">
        <f>_xlfn.COUNTIFS(Немецкий_язык!$H$1:$H$1000,10,Немецкий_язык!$J$1:$J$1000,"имеются")</f>
        <v>0</v>
      </c>
      <c r="BK26" s="2">
        <f>_xlfn.COUNTIFS(Немецкий_язык!$H$1:$H$1000,10,Немецкий_язык!$N$1:$N$1000,"Призер")</f>
        <v>0</v>
      </c>
      <c r="BL26" s="2">
        <f>_xlfn.COUNTIFS(Немецкий_язык!$H$1:$H$1000,10,Немецкий_язык!$N$1:$N$1000,"Победитель")</f>
        <v>0</v>
      </c>
      <c r="BM26" s="2">
        <f>_xlfn.COUNTIFS(Немецкий_язык!$H$1:$H$1000,10,Немецкий_язык!$N$1:$N$1000,"Победитель",Немецкий_язык!$M$1:$M$1000,"100%")</f>
        <v>0</v>
      </c>
      <c r="BN26" s="2">
        <f>_xlfn.COUNTIFS(Немецкий_язык!$H$1:$H$1000,10,Немецкий_язык!$N$1:$N$1000,"Призер",Немецкий_язык!$J$1:$J$1000,"имеются")</f>
        <v>0</v>
      </c>
      <c r="BO26" s="2">
        <f>_xlfn.COUNTIFS(Немецкий_язык!$H$1:$H$1000,10,Немецкий_язык!$N$1:$N$1000,"Победитель",Немецкий_язык!$J$1:$J$1000,"имеются")</f>
        <v>0</v>
      </c>
      <c r="BP26" s="2">
        <f>COUNTIF(Немецкий_язык!$H$1:$H$1000,11)</f>
        <v>0</v>
      </c>
      <c r="BQ26" s="161">
        <f>_xlfn.COUNTIFS(Немецкий_язык!$H$1:$H$1000,11,Немецкий_язык!$G$1:$G$1000,"&lt;11")</f>
        <v>0</v>
      </c>
      <c r="BR26" s="161">
        <f>_xlfn.COUNTIFS(Немецкий_язык!$H$1:$H$1000,11,Немецкий_язык!$J$1:$J$1000,"имеются")</f>
        <v>0</v>
      </c>
      <c r="BS26" s="2">
        <f>_xlfn.COUNTIFS(Немецкий_язык!$H$1:$H$1000,11,Немецкий_язык!$N$1:$N$1000,"Призер")</f>
        <v>0</v>
      </c>
      <c r="BT26" s="2">
        <f>_xlfn.COUNTIFS(Немецкий_язык!$H$1:$H$1000,11,Немецкий_язык!$N$1:$N$1000,"Победитель")</f>
        <v>0</v>
      </c>
      <c r="BU26" s="2">
        <f>_xlfn.COUNTIFS(Немецкий_язык!$H$1:$H$1000,11,Немецкий_язык!$N$1:$N$1000,"Победитель",Немецкий_язык!$M$1:$M$1000,"100%")</f>
        <v>0</v>
      </c>
      <c r="BV26" s="2">
        <f>_xlfn.COUNTIFS(Немецкий_язык!$H$1:$H$1000,11,Немецкий_язык!$N$1:$N$1000,"Призер",Немецкий_язык!$J$1:$J$1000,"имеются")</f>
        <v>0</v>
      </c>
      <c r="BW26" s="2">
        <f>_xlfn.COUNTIFS(Немецкий_язык!$H$1:$H$1000,11,Немецкий_язык!$N$1:$N$1000,"Победитель",Немецкий_язык!$J$1:$J$1000,"имеются")</f>
        <v>0</v>
      </c>
      <c r="BX26" s="97" t="e">
        <f t="shared" si="7"/>
        <v>#DIV/0!</v>
      </c>
      <c r="BY26" s="303">
        <f>IF(Немецкий_язык!$S$1="1","Нет даты рождения","")</f>
      </c>
    </row>
    <row r="27" spans="1:77" ht="12.75">
      <c r="A27" s="33">
        <v>14</v>
      </c>
      <c r="B27" s="129" t="s">
        <v>57</v>
      </c>
      <c r="C27" s="14">
        <f t="shared" si="0"/>
        <v>1</v>
      </c>
      <c r="D27" s="2">
        <f t="shared" si="8"/>
        <v>7</v>
      </c>
      <c r="E27" s="2">
        <f t="shared" si="8"/>
        <v>0</v>
      </c>
      <c r="F27" s="2">
        <f t="shared" si="3"/>
        <v>0</v>
      </c>
      <c r="G27" s="2">
        <f>IF(SUM(W27,AE27,AM27,AU27,BC27,BK27,BS27)&lt;&gt;COUNTIF(ОБЖ!$N$1:$N$1000,"Призер"),"Ошибка",SUM(W27,AE27,AM27,AU27,BC27,BK27,BS27))</f>
        <v>0</v>
      </c>
      <c r="H27" s="2">
        <f>IF(SUM(X27,AF27,AN27,AV27,BD27,BL27,BT27)&lt;&gt;COUNTIF(ОБЖ!$N$1:$N$1000,"Победитель"),"Ошибка",SUM(X27,AF27,AN27,AV27,BD27,BL27,BT27))</f>
        <v>0</v>
      </c>
      <c r="I27" s="2">
        <f aca="true" t="shared" si="9" ref="I27:K29">Y27+AG27+AO27+AW27+BE27+BM27+BU27</f>
        <v>0</v>
      </c>
      <c r="J27" s="2">
        <f t="shared" si="9"/>
        <v>0</v>
      </c>
      <c r="K27" s="2">
        <f t="shared" si="9"/>
        <v>0</v>
      </c>
      <c r="L27" s="2"/>
      <c r="M27" s="2"/>
      <c r="N27" s="2"/>
      <c r="O27" s="2"/>
      <c r="P27" s="2"/>
      <c r="Q27" s="2"/>
      <c r="R27" s="2"/>
      <c r="S27" s="2"/>
      <c r="T27" s="2">
        <f>COUNTIF(ОБЖ!$H$1:$H$1000,5)</f>
        <v>0</v>
      </c>
      <c r="U27" s="161">
        <f>_xlfn.COUNTIFS(ОБЖ!$H$1:$H$1000,5,ОБЖ!$G$1:$G$1000,"&lt;5")</f>
        <v>0</v>
      </c>
      <c r="V27" s="161">
        <f>_xlfn.COUNTIFS(ОБЖ!$H$1:$H$1000,5,ОБЖ!$J$1:$J$1000,"имеются")</f>
        <v>0</v>
      </c>
      <c r="W27" s="2">
        <f>_xlfn.COUNTIFS(ОБЖ!$H$1:$H$1000,5,ОБЖ!$N$1:$N$1000,"Призер")</f>
        <v>0</v>
      </c>
      <c r="X27" s="2">
        <f>_xlfn.COUNTIFS(ОБЖ!$H$1:$H$1000,5,ОБЖ!$N$1:$N$1000,"Победитель")</f>
        <v>0</v>
      </c>
      <c r="Y27" s="2">
        <f>_xlfn.COUNTIFS(ОБЖ!$H$1:$H$1000,5,ОБЖ!$N$1:$N$1000,"Победитель",ОБЖ!$M$1:$M$1000,"100%")</f>
        <v>0</v>
      </c>
      <c r="Z27" s="2">
        <f>_xlfn.COUNTIFS(ОБЖ!$H$1:$H$1000,5,ОБЖ!$N$1:$N$1000,"Призер",ОБЖ!$J$1:$J$1000,"имеются")</f>
        <v>0</v>
      </c>
      <c r="AA27" s="2">
        <f>_xlfn.COUNTIFS(ОБЖ!$H$1:$H$1000,5,ОБЖ!$N$1:$N$1000,"Победитель",ОБЖ!$J$1:$J$1000,"имеются")</f>
        <v>0</v>
      </c>
      <c r="AB27" s="2">
        <f>COUNTIF(ОБЖ!$H$1:$H$1000,6)</f>
        <v>0</v>
      </c>
      <c r="AC27" s="161">
        <f>_xlfn.COUNTIFS(ОБЖ!$H$1:$H$1000,6,ОБЖ!$G$1:$G$1000,"&lt;6")</f>
        <v>0</v>
      </c>
      <c r="AD27" s="161">
        <f>_xlfn.COUNTIFS(ОБЖ!$H$1:$H$1000,6,ОБЖ!$J$1:$J$1000,"имеются")</f>
        <v>0</v>
      </c>
      <c r="AE27" s="2">
        <f>_xlfn.COUNTIFS(ОБЖ!$H$1:$H$1000,6,ОБЖ!$N$1:$N$1000,"Призер")</f>
        <v>0</v>
      </c>
      <c r="AF27" s="2">
        <f>_xlfn.COUNTIFS(ОБЖ!$H$1:$H$1000,6,ОБЖ!$N$1:$N$1000,"Победитель")</f>
        <v>0</v>
      </c>
      <c r="AG27" s="2">
        <f>_xlfn.COUNTIFS(ОБЖ!$H$1:$H$1000,6,ОБЖ!$N$1:$N$1000,"Победитель",ОБЖ!$M$1:$M$1000,"100%")</f>
        <v>0</v>
      </c>
      <c r="AH27" s="2">
        <f>_xlfn.COUNTIFS(ОБЖ!$H$1:$H$1000,6,ОБЖ!$N$1:$N$1000,"Призер",ОБЖ!$J$1:$J$1000,"имеются")</f>
        <v>0</v>
      </c>
      <c r="AI27" s="2">
        <f>_xlfn.COUNTIFS(ОБЖ!$H$1:$H$1000,6,ОБЖ!$N$1:$N$1000,"Победитель",ОБЖ!$J$1:$J$1000,"имеются")</f>
        <v>0</v>
      </c>
      <c r="AJ27" s="2">
        <f>COUNTIF(ОБЖ!$H$1:$H$1000,7)</f>
        <v>0</v>
      </c>
      <c r="AK27" s="161">
        <f>_xlfn.COUNTIFS(ОБЖ!$H$1:$H$1000,7,ОБЖ!$G$1:$G$1000,"&lt;7")</f>
        <v>0</v>
      </c>
      <c r="AL27" s="161">
        <f>_xlfn.COUNTIFS(ОБЖ!$H$1:$H$1000,7,ОБЖ!$J$1:$J$1000,"имеются")</f>
        <v>0</v>
      </c>
      <c r="AM27" s="2">
        <f>_xlfn.COUNTIFS(ОБЖ!$H$1:$H$1000,7,ОБЖ!$N$1:$N$1000,"Призер")</f>
        <v>0</v>
      </c>
      <c r="AN27" s="2">
        <f>_xlfn.COUNTIFS(ОБЖ!$H$1:$H$1000,7,ОБЖ!$N$1:$N$1000,"Победитель")</f>
        <v>0</v>
      </c>
      <c r="AO27" s="2">
        <f>_xlfn.COUNTIFS(ОБЖ!$H$1:$H$1000,7,ОБЖ!$N$1:$N$1000,"Победитель",ОБЖ!$M$1:$M$1000,"100%")</f>
        <v>0</v>
      </c>
      <c r="AP27" s="2">
        <f>_xlfn.COUNTIFS(ОБЖ!$H$1:$H$1000,7,ОБЖ!$N$1:$N$1000,"Призер",ОБЖ!$J$1:$J$1000,"имеются")</f>
        <v>0</v>
      </c>
      <c r="AQ27" s="2">
        <f>_xlfn.COUNTIFS(ОБЖ!$H$1:$H$1000,7,ОБЖ!$N$1:$N$1000,"Победитель",ОБЖ!$J$1:$J$1000,"имеются")</f>
        <v>0</v>
      </c>
      <c r="AR27" s="2">
        <f>COUNTIF(ОБЖ!$H$1:$H$1000,8)</f>
        <v>0</v>
      </c>
      <c r="AS27" s="161">
        <f>_xlfn.COUNTIFS(ОБЖ!$H$1:$H$1000,8,ОБЖ!$G$1:$G$1000,"&lt;8")</f>
        <v>0</v>
      </c>
      <c r="AT27" s="161">
        <f>_xlfn.COUNTIFS(ОБЖ!$H$1:$H$1000,8,ОБЖ!$J$1:$J$1000,"имеются")</f>
        <v>0</v>
      </c>
      <c r="AU27" s="2">
        <f>_xlfn.COUNTIFS(ОБЖ!$H$1:$H$1000,8,ОБЖ!$N$1:$N$1000,"Призер")</f>
        <v>0</v>
      </c>
      <c r="AV27" s="2">
        <f>_xlfn.COUNTIFS(ОБЖ!$H$1:$H$1000,8,ОБЖ!$N$1:$N$1000,"Победитель")</f>
        <v>0</v>
      </c>
      <c r="AW27" s="2">
        <f>_xlfn.COUNTIFS(ОБЖ!$H$1:$H$1000,8,ОБЖ!$N$1:$N$1000,"Победитель",ОБЖ!$M$1:$M$1000,"100%")</f>
        <v>0</v>
      </c>
      <c r="AX27" s="2">
        <f>_xlfn.COUNTIFS(ОБЖ!$H$1:$H$1000,8,ОБЖ!$N$1:$N$1000,"Призер",ОБЖ!$J$1:$J$1000,"имеются")</f>
        <v>0</v>
      </c>
      <c r="AY27" s="2">
        <f>_xlfn.COUNTIFS(ОБЖ!$H$1:$H$1000,8,ОБЖ!$N$1:$N$1000,"Победитель",ОБЖ!$J$1:$J$1000,"имеются")</f>
        <v>0</v>
      </c>
      <c r="AZ27" s="2">
        <f>COUNTIF(ОБЖ!$H$1:$H$1000,9)</f>
        <v>0</v>
      </c>
      <c r="BA27" s="161">
        <f>_xlfn.COUNTIFS(ОБЖ!$H$1:$H$1000,9,ОБЖ!$G$1:$G$1000,"&lt;9")</f>
        <v>0</v>
      </c>
      <c r="BB27" s="161">
        <f>_xlfn.COUNTIFS(ОБЖ!$H$1:$H$1000,9,ОБЖ!$J$1:$J$1000,"имеются")</f>
        <v>0</v>
      </c>
      <c r="BC27" s="2">
        <f>_xlfn.COUNTIFS(ОБЖ!$H$1:$H$1000,9,ОБЖ!$N$1:$N$1000,"Призер")</f>
        <v>0</v>
      </c>
      <c r="BD27" s="2">
        <f>_xlfn.COUNTIFS(ОБЖ!$H$1:$H$1000,9,ОБЖ!$N$1:$N$1000,"Победитель")</f>
        <v>0</v>
      </c>
      <c r="BE27" s="2">
        <f>_xlfn.COUNTIFS(ОБЖ!$H$1:$H$1000,9,ОБЖ!$N$1:$N$1000,"Победитель",ОБЖ!$M$1:$M$1000,"100%")</f>
        <v>0</v>
      </c>
      <c r="BF27" s="2">
        <f>_xlfn.COUNTIFS(ОБЖ!$H$1:$H$1000,9,ОБЖ!$N$1:$N$1000,"Призер",ОБЖ!$J$1:$J$1000,"имеются")</f>
        <v>0</v>
      </c>
      <c r="BG27" s="2">
        <f>_xlfn.COUNTIFS(ОБЖ!$H$1:$H$1000,9,ОБЖ!$N$1:$N$1000,"Победитель",ОБЖ!$J$1:$J$1000,"имеются")</f>
        <v>0</v>
      </c>
      <c r="BH27" s="2">
        <f>COUNTIF(ОБЖ!$H$1:$H$1000,10)</f>
        <v>7</v>
      </c>
      <c r="BI27" s="161">
        <f>_xlfn.COUNTIFS(ОБЖ!$H$1:$H$1000,10,ОБЖ!$G$1:$G$1000,"&lt;10")</f>
        <v>0</v>
      </c>
      <c r="BJ27" s="161">
        <f>_xlfn.COUNTIFS(ОБЖ!$H$1:$H$1000,10,ОБЖ!$J$1:$J$1000,"имеются")</f>
        <v>0</v>
      </c>
      <c r="BK27" s="2">
        <f>_xlfn.COUNTIFS(ОБЖ!$H$1:$H$1000,10,ОБЖ!$N$1:$N$1000,"Призер")</f>
        <v>0</v>
      </c>
      <c r="BL27" s="2">
        <f>_xlfn.COUNTIFS(ОБЖ!$H$1:$H$1000,10,ОБЖ!$N$1:$N$1000,"Победитель")</f>
        <v>0</v>
      </c>
      <c r="BM27" s="2">
        <f>_xlfn.COUNTIFS(ОБЖ!$H$1:$H$1000,10,ОБЖ!$N$1:$N$1000,"Победитель",ОБЖ!$M$1:$M$1000,"100%")</f>
        <v>0</v>
      </c>
      <c r="BN27" s="2">
        <f>_xlfn.COUNTIFS(ОБЖ!$H$1:$H$1000,10,ОБЖ!$N$1:$N$1000,"Призер",ОБЖ!$J$1:$J$1000,"имеются")</f>
        <v>0</v>
      </c>
      <c r="BO27" s="2">
        <f>_xlfn.COUNTIFS(ОБЖ!$H$1:$H$1000,10,ОБЖ!$N$1:$N$1000,"Победитель",ОБЖ!$J$1:$J$1000,"имеются")</f>
        <v>0</v>
      </c>
      <c r="BP27" s="2">
        <f>COUNTIF(ОБЖ!$H$1:$H$1000,11)</f>
        <v>0</v>
      </c>
      <c r="BQ27" s="161">
        <f>_xlfn.COUNTIFS(ОБЖ!$H$1:$H$1000,11,ОБЖ!$G$1:$G$1000,"&lt;11")</f>
        <v>0</v>
      </c>
      <c r="BR27" s="161">
        <f>_xlfn.COUNTIFS(ОБЖ!$H$1:$H$1000,11,ОБЖ!$J$1:$J$1000,"имеются")</f>
        <v>0</v>
      </c>
      <c r="BS27" s="2">
        <f>_xlfn.COUNTIFS(ОБЖ!$H$1:$H$1000,11,ОБЖ!$N$1:$N$1000,"Призер")</f>
        <v>0</v>
      </c>
      <c r="BT27" s="2">
        <f>_xlfn.COUNTIFS(ОБЖ!$H$1:$H$1000,11,ОБЖ!$N$1:$N$1000,"Победитель")</f>
        <v>0</v>
      </c>
      <c r="BU27" s="2">
        <f>_xlfn.COUNTIFS(ОБЖ!$H$1:$H$1000,11,ОБЖ!$N$1:$N$1000,"Победитель",ОБЖ!$M$1:$M$1000,"100%")</f>
        <v>0</v>
      </c>
      <c r="BV27" s="2">
        <f>_xlfn.COUNTIFS(ОБЖ!$H$1:$H$1000,11,ОБЖ!$N$1:$N$1000,"Призер",ОБЖ!$J$1:$J$1000,"имеются")</f>
        <v>0</v>
      </c>
      <c r="BW27" s="2">
        <f>_xlfn.COUNTIFS(ОБЖ!$H$1:$H$1000,11,ОБЖ!$N$1:$N$1000,"Победитель",ОБЖ!$J$1:$J$1000,"имеются")</f>
        <v>0</v>
      </c>
      <c r="BX27" s="97">
        <f t="shared" si="7"/>
        <v>0</v>
      </c>
      <c r="BY27" s="303">
        <f>IF(ОБЖ!$S$1="1","Нет даты рождения","")</f>
      </c>
    </row>
    <row r="28" spans="1:77" ht="12.75">
      <c r="A28" s="33">
        <v>15</v>
      </c>
      <c r="B28" s="31" t="s">
        <v>45</v>
      </c>
      <c r="C28" s="14">
        <f t="shared" si="0"/>
        <v>1</v>
      </c>
      <c r="D28" s="2">
        <f t="shared" si="8"/>
        <v>46</v>
      </c>
      <c r="E28" s="2">
        <f t="shared" si="8"/>
        <v>0</v>
      </c>
      <c r="F28" s="2">
        <f t="shared" si="3"/>
        <v>0</v>
      </c>
      <c r="G28" s="2">
        <f>IF(SUM(W28,AE28,AM28,AU28,BC28,BK28,BS28)&lt;&gt;COUNTIF(Обществознание!$N$1:$N$1000,"Призер"),"Ошибка",SUM(W28,AE28,AM28,AU28,BC28,BK28,BS28))</f>
        <v>6</v>
      </c>
      <c r="H28" s="2">
        <f>IF(SUM(X28,AF28,AN28,AV28,BD28,BL28,BT28)&lt;&gt;COUNTIF(Обществознание!$N$1:$N$1000,"Победитель"),"Ошибка",SUM(X28,AF28,AN28,AV28,BD28,BL28,BT28))</f>
        <v>3</v>
      </c>
      <c r="I28" s="2">
        <f t="shared" si="9"/>
        <v>0</v>
      </c>
      <c r="J28" s="2">
        <f t="shared" si="9"/>
        <v>0</v>
      </c>
      <c r="K28" s="2">
        <f t="shared" si="9"/>
        <v>0</v>
      </c>
      <c r="L28" s="2"/>
      <c r="M28" s="2"/>
      <c r="N28" s="2"/>
      <c r="O28" s="2"/>
      <c r="P28" s="2"/>
      <c r="Q28" s="2"/>
      <c r="R28" s="2"/>
      <c r="S28" s="2"/>
      <c r="T28" s="2">
        <f>COUNTIF(Обществознание!$H$1:$H$1000,5)</f>
        <v>0</v>
      </c>
      <c r="U28" s="161">
        <f>_xlfn.COUNTIFS(Обществознание!$H$1:$H$1000,5,Обществознание!$G$1:$G$1000,"&lt;5")</f>
        <v>0</v>
      </c>
      <c r="V28" s="161">
        <f>_xlfn.COUNTIFS(Обществознание!$H$1:$H$1000,5,Обществознание!$J$1:$J$1000,"имеются")</f>
        <v>0</v>
      </c>
      <c r="W28" s="2">
        <f>_xlfn.COUNTIFS(Обществознание!$H$1:$H$1000,5,Обществознание!$N$1:$N$1000,"Призер")</f>
        <v>0</v>
      </c>
      <c r="X28" s="2">
        <f>_xlfn.COUNTIFS(Обществознание!$H$1:$H$1000,5,Обществознание!$N$1:$N$1000,"Победитель")</f>
        <v>0</v>
      </c>
      <c r="Y28" s="2">
        <f>_xlfn.COUNTIFS(Обществознание!$H$1:$H$1000,5,Обществознание!$N$1:$N$1000,"Победитель",Обществознание!$M$1:$M$1000,"100%")</f>
        <v>0</v>
      </c>
      <c r="Z28" s="2">
        <f>_xlfn.COUNTIFS(Обществознание!$H$1:$H$1000,5,Обществознание!$N$1:$N$1000,"Призер",Обществознание!$J$1:$J$1000,"имеются")</f>
        <v>0</v>
      </c>
      <c r="AA28" s="2">
        <f>_xlfn.COUNTIFS(Обществознание!$H$1:$H$1000,5,Обществознание!$N$1:$N$1000,"Победитель",Обществознание!$J$1:$J$1000,"имеются")</f>
        <v>0</v>
      </c>
      <c r="AB28" s="2">
        <f>COUNTIF(Обществознание!$H$1:$H$1000,6)</f>
        <v>0</v>
      </c>
      <c r="AC28" s="161">
        <f>_xlfn.COUNTIFS(Обществознание!$H$1:$H$1000,6,Обществознание!$G$1:$G$1000,"&lt;6")</f>
        <v>0</v>
      </c>
      <c r="AD28" s="161">
        <f>_xlfn.COUNTIFS(Обществознание!$H$1:$H$1000,6,Обществознание!$J$1:$J$1000,"имеются")</f>
        <v>0</v>
      </c>
      <c r="AE28" s="2">
        <f>_xlfn.COUNTIFS(Обществознание!$H$1:$H$1000,6,Обществознание!$N$1:$N$1000,"Призер")</f>
        <v>0</v>
      </c>
      <c r="AF28" s="2">
        <f>_xlfn.COUNTIFS(Обществознание!$H$1:$H$1000,6,Обществознание!$N$1:$N$1000,"Победитель")</f>
        <v>0</v>
      </c>
      <c r="AG28" s="2">
        <f>_xlfn.COUNTIFS(Обществознание!$H$1:$H$1000,6,Обществознание!$N$1:$N$1000,"Победитель",Обществознание!$M$1:$M$1000,"100%")</f>
        <v>0</v>
      </c>
      <c r="AH28" s="2">
        <f>_xlfn.COUNTIFS(Обществознание!$H$1:$H$1000,6,Обществознание!$N$1:$N$1000,"Призер",Обществознание!$J$1:$J$1000,"имеются")</f>
        <v>0</v>
      </c>
      <c r="AI28" s="2">
        <f>_xlfn.COUNTIFS(Обществознание!$H$1:$H$1000,6,Обществознание!$N$1:$N$1000,"Победитель",Обществознание!$J$1:$J$1000,"имеются")</f>
        <v>0</v>
      </c>
      <c r="AJ28" s="2">
        <f>COUNTIF(Обществознание!$H$1:$H$1000,7)</f>
        <v>14</v>
      </c>
      <c r="AK28" s="161">
        <f>_xlfn.COUNTIFS(Обществознание!$H$1:$H$1000,7,Обществознание!$G$1:$G$1000,"&lt;7")</f>
        <v>0</v>
      </c>
      <c r="AL28" s="161">
        <f>_xlfn.COUNTIFS(Обществознание!$H$1:$H$1000,7,Обществознание!$J$1:$J$1000,"имеются")</f>
        <v>0</v>
      </c>
      <c r="AM28" s="2">
        <f>_xlfn.COUNTIFS(Обществознание!$H$1:$H$1000,7,Обществознание!$N$1:$N$1000,"Призер")</f>
        <v>2</v>
      </c>
      <c r="AN28" s="2">
        <f>_xlfn.COUNTIFS(Обществознание!$H$1:$H$1000,7,Обществознание!$N$1:$N$1000,"Победитель")</f>
        <v>1</v>
      </c>
      <c r="AO28" s="2">
        <f>_xlfn.COUNTIFS(Обществознание!$H$1:$H$1000,7,Обществознание!$N$1:$N$1000,"Победитель",Обществознание!$M$1:$M$1000,"100%")</f>
        <v>0</v>
      </c>
      <c r="AP28" s="2">
        <f>_xlfn.COUNTIFS(Обществознание!$H$1:$H$1000,7,Обществознание!$N$1:$N$1000,"Призер",Обществознание!$J$1:$J$1000,"имеются")</f>
        <v>0</v>
      </c>
      <c r="AQ28" s="2">
        <f>_xlfn.COUNTIFS(Обществознание!$H$1:$H$1000,7,Обществознание!$N$1:$N$1000,"Победитель",Обществознание!$J$1:$J$1000,"имеются")</f>
        <v>0</v>
      </c>
      <c r="AR28" s="2">
        <f>COUNTIF(Обществознание!$H$1:$H$1000,8)</f>
        <v>9</v>
      </c>
      <c r="AS28" s="161">
        <f>_xlfn.COUNTIFS(Обществознание!$H$1:$H$1000,8,Обществознание!$G$1:$G$1000,"&lt;8")</f>
        <v>0</v>
      </c>
      <c r="AT28" s="161">
        <f>_xlfn.COUNTIFS(Обществознание!$H$1:$H$1000,8,Обществознание!$J$1:$J$1000,"имеются")</f>
        <v>0</v>
      </c>
      <c r="AU28" s="2">
        <f>_xlfn.COUNTIFS(Обществознание!$H$1:$H$1000,8,Обществознание!$N$1:$N$1000,"Призер")</f>
        <v>1</v>
      </c>
      <c r="AV28" s="2">
        <f>_xlfn.COUNTIFS(Обществознание!$H$1:$H$1000,8,Обществознание!$N$1:$N$1000,"Победитель")</f>
        <v>0</v>
      </c>
      <c r="AW28" s="2">
        <f>_xlfn.COUNTIFS(Обществознание!$H$1:$H$1000,8,Обществознание!$N$1:$N$1000,"Победитель",Обществознание!$M$1:$M$1000,"100%")</f>
        <v>0</v>
      </c>
      <c r="AX28" s="2">
        <f>_xlfn.COUNTIFS(Обществознание!$H$1:$H$1000,8,Обществознание!$N$1:$N$1000,"Призер",Обществознание!$J$1:$J$1000,"имеются")</f>
        <v>0</v>
      </c>
      <c r="AY28" s="2">
        <f>_xlfn.COUNTIFS(Обществознание!$H$1:$H$1000,8,Обществознание!$N$1:$N$1000,"Победитель",Обществознание!$J$1:$J$1000,"имеются")</f>
        <v>0</v>
      </c>
      <c r="AZ28" s="2">
        <f>COUNTIF(Обществознание!$H$1:$H$1000,9)</f>
        <v>6</v>
      </c>
      <c r="BA28" s="161">
        <f>_xlfn.COUNTIFS(Обществознание!$H$1:$H$1000,9,Обществознание!$G$1:$G$1000,"&lt;9")</f>
        <v>0</v>
      </c>
      <c r="BB28" s="161">
        <f>_xlfn.COUNTIFS(Обществознание!$H$1:$H$1000,9,Обществознание!$J$1:$J$1000,"имеются")</f>
        <v>0</v>
      </c>
      <c r="BC28" s="2">
        <f>_xlfn.COUNTIFS(Обществознание!$H$1:$H$1000,9,Обществознание!$N$1:$N$1000,"Призер")</f>
        <v>1</v>
      </c>
      <c r="BD28" s="2">
        <f>_xlfn.COUNTIFS(Обществознание!$H$1:$H$1000,9,Обществознание!$N$1:$N$1000,"Победитель")</f>
        <v>1</v>
      </c>
      <c r="BE28" s="2">
        <f>_xlfn.COUNTIFS(Обществознание!$H$1:$H$1000,9,Обществознание!$N$1:$N$1000,"Победитель",Обществознание!$M$1:$M$1000,"100%")</f>
        <v>0</v>
      </c>
      <c r="BF28" s="2">
        <f>_xlfn.COUNTIFS(Обществознание!$H$1:$H$1000,9,Обществознание!$N$1:$N$1000,"Призер",Обществознание!$J$1:$J$1000,"имеются")</f>
        <v>0</v>
      </c>
      <c r="BG28" s="2">
        <f>_xlfn.COUNTIFS(Обществознание!$H$1:$H$1000,9,Обществознание!$N$1:$N$1000,"Победитель",Обществознание!$J$1:$J$1000,"имеются")</f>
        <v>0</v>
      </c>
      <c r="BH28" s="2">
        <f>COUNTIF(Обществознание!$H$1:$H$1000,10)</f>
        <v>12</v>
      </c>
      <c r="BI28" s="161">
        <f>_xlfn.COUNTIFS(Обществознание!$H$1:$H$1000,10,Обществознание!$G$1:$G$1000,"&lt;10")</f>
        <v>0</v>
      </c>
      <c r="BJ28" s="161">
        <f>_xlfn.COUNTIFS(Обществознание!$H$1:$H$1000,10,Обществознание!$J$1:$J$1000,"имеются")</f>
        <v>0</v>
      </c>
      <c r="BK28" s="2">
        <f>_xlfn.COUNTIFS(Обществознание!$H$1:$H$1000,10,Обществознание!$N$1:$N$1000,"Призер")</f>
        <v>1</v>
      </c>
      <c r="BL28" s="2">
        <f>_xlfn.COUNTIFS(Обществознание!$H$1:$H$1000,10,Обществознание!$N$1:$N$1000,"Победитель")</f>
        <v>1</v>
      </c>
      <c r="BM28" s="2">
        <f>_xlfn.COUNTIFS(Обществознание!$H$1:$H$1000,10,Обществознание!$N$1:$N$1000,"Победитель",Обществознание!$M$1:$M$1000,"100%")</f>
        <v>0</v>
      </c>
      <c r="BN28" s="2">
        <f>_xlfn.COUNTIFS(Обществознание!$H$1:$H$1000,10,Обществознание!$N$1:$N$1000,"Призер",Обществознание!$J$1:$J$1000,"имеются")</f>
        <v>0</v>
      </c>
      <c r="BO28" s="2">
        <f>_xlfn.COUNTIFS(Обществознание!$H$1:$H$1000,10,Обществознание!$N$1:$N$1000,"Победитель",Обществознание!$J$1:$J$1000,"имеются")</f>
        <v>0</v>
      </c>
      <c r="BP28" s="2">
        <f>COUNTIF(Обществознание!$H$1:$H$1000,11)</f>
        <v>5</v>
      </c>
      <c r="BQ28" s="161">
        <f>_xlfn.COUNTIFS(Обществознание!$H$1:$H$1000,11,Обществознание!$G$1:$G$1000,"&lt;11")</f>
        <v>0</v>
      </c>
      <c r="BR28" s="161">
        <f>_xlfn.COUNTIFS(Обществознание!$H$1:$H$1000,11,Обществознание!$J$1:$J$1000,"имеются")</f>
        <v>0</v>
      </c>
      <c r="BS28" s="2">
        <f>_xlfn.COUNTIFS(Обществознание!$H$1:$H$1000,11,Обществознание!$N$1:$N$1000,"Призер")</f>
        <v>1</v>
      </c>
      <c r="BT28" s="2">
        <f>_xlfn.COUNTIFS(Обществознание!$H$1:$H$1000,11,Обществознание!$N$1:$N$1000,"Победитель")</f>
        <v>0</v>
      </c>
      <c r="BU28" s="2">
        <f>_xlfn.COUNTIFS(Обществознание!$H$1:$H$1000,11,Обществознание!$N$1:$N$1000,"Победитель",Обществознание!$M$1:$M$1000,"100%")</f>
        <v>0</v>
      </c>
      <c r="BV28" s="2">
        <f>_xlfn.COUNTIFS(Обществознание!$H$1:$H$1000,11,Обществознание!$N$1:$N$1000,"Призер",Обществознание!$J$1:$J$1000,"имеются")</f>
        <v>0</v>
      </c>
      <c r="BW28" s="2">
        <f>_xlfn.COUNTIFS(Обществознание!$H$1:$H$1000,11,Обществознание!$N$1:$N$1000,"Победитель",Обществознание!$J$1:$J$1000,"имеются")</f>
        <v>0</v>
      </c>
      <c r="BX28" s="97">
        <f t="shared" si="7"/>
        <v>0.1956521739130435</v>
      </c>
      <c r="BY28" s="303">
        <f>IF(Обществознание!$S$1="1","Нет даты рождения","")</f>
      </c>
    </row>
    <row r="29" spans="1:77" ht="12.75">
      <c r="A29" s="33">
        <v>16</v>
      </c>
      <c r="B29" s="31" t="s">
        <v>18</v>
      </c>
      <c r="C29" s="14">
        <f t="shared" si="0"/>
        <v>1</v>
      </c>
      <c r="D29" s="2">
        <f t="shared" si="8"/>
        <v>8</v>
      </c>
      <c r="E29" s="2">
        <f t="shared" si="8"/>
        <v>0</v>
      </c>
      <c r="F29" s="2">
        <f t="shared" si="3"/>
        <v>0</v>
      </c>
      <c r="G29" s="2">
        <f>IF(SUM(W29,AE29,AM29,AU29,BC29,BK29,BS29)&lt;&gt;COUNTIF(Право!$N$1:$N$1000,"Призер"),"Ошибка",SUM(W29,AE29,AM29,AU29,BC29,BK29,BS29))</f>
        <v>1</v>
      </c>
      <c r="H29" s="2">
        <f>IF(SUM(X29,AF29,AN29,AV29,BD29,BL29,BT29)&lt;&gt;COUNTIF(Право!$N$1:$N$1000,"Победитель"),"Ошибка",SUM(X29,AF29,AN29,AV29,BD29,BL29,BT29))</f>
        <v>0</v>
      </c>
      <c r="I29" s="2">
        <f t="shared" si="9"/>
        <v>0</v>
      </c>
      <c r="J29" s="2">
        <f t="shared" si="9"/>
        <v>0</v>
      </c>
      <c r="K29" s="2">
        <f t="shared" si="9"/>
        <v>0</v>
      </c>
      <c r="L29" s="2"/>
      <c r="M29" s="2"/>
      <c r="N29" s="2"/>
      <c r="O29" s="2"/>
      <c r="P29" s="2"/>
      <c r="Q29" s="2"/>
      <c r="R29" s="2"/>
      <c r="S29" s="2"/>
      <c r="T29" s="2">
        <f>COUNTIF(Право!$H$1:$H$1000,5)</f>
        <v>0</v>
      </c>
      <c r="U29" s="161">
        <f>_xlfn.COUNTIFS(Право!$H$1:$H$1000,5,Право!$G$1:$G$1000,"&lt;5")</f>
        <v>0</v>
      </c>
      <c r="V29" s="161">
        <f>_xlfn.COUNTIFS(Право!$H$1:$H$1000,5,Право!$J$1:$J$1000,"имеются")</f>
        <v>0</v>
      </c>
      <c r="W29" s="2">
        <f>_xlfn.COUNTIFS(Право!$H$1:$H$1000,5,Право!$N$1:$N$1000,"Призер")</f>
        <v>0</v>
      </c>
      <c r="X29" s="2">
        <f>_xlfn.COUNTIFS(Право!$H$1:$H$1000,5,Право!$N$1:$N$1000,"Победитель")</f>
        <v>0</v>
      </c>
      <c r="Y29" s="2">
        <f>_xlfn.COUNTIFS(Право!$H$1:$H$1000,5,Право!$N$1:$N$1000,"Победитель",Право!$M$1:$M$1000,"100%")</f>
        <v>0</v>
      </c>
      <c r="Z29" s="2">
        <f>_xlfn.COUNTIFS(Право!$H$1:$H$1000,5,Право!$N$1:$N$1000,"Призер",Право!$J$1:$J$1000,"имеются")</f>
        <v>0</v>
      </c>
      <c r="AA29" s="2">
        <f>_xlfn.COUNTIFS(Право!$H$1:$H$1000,5,Право!$N$1:$N$1000,"Победитель",Право!$J$1:$J$1000,"имеются")</f>
        <v>0</v>
      </c>
      <c r="AB29" s="2">
        <f>COUNTIF(Право!$H$1:$H$1000,6)</f>
        <v>0</v>
      </c>
      <c r="AC29" s="161">
        <f>_xlfn.COUNTIFS(Право!$H$1:$H$1000,6,Право!$G$1:$G$1000,"&lt;6")</f>
        <v>0</v>
      </c>
      <c r="AD29" s="161">
        <f>_xlfn.COUNTIFS(Право!$H$1:$H$1000,6,Право!$J$1:$J$1000,"имеются")</f>
        <v>0</v>
      </c>
      <c r="AE29" s="2">
        <f>_xlfn.COUNTIFS(Право!$H$1:$H$1000,6,Право!$N$1:$N$1000,"Призер")</f>
        <v>0</v>
      </c>
      <c r="AF29" s="2">
        <f>_xlfn.COUNTIFS(Право!$H$1:$H$1000,6,Право!$N$1:$N$1000,"Победитель")</f>
        <v>0</v>
      </c>
      <c r="AG29" s="2">
        <f>_xlfn.COUNTIFS(Право!$H$1:$H$1000,6,Право!$N$1:$N$1000,"Победитель",Право!$M$1:$M$1000,"100%")</f>
        <v>0</v>
      </c>
      <c r="AH29" s="2">
        <f>_xlfn.COUNTIFS(Право!$H$1:$H$1000,6,Право!$N$1:$N$1000,"Призер",Право!$J$1:$J$1000,"имеются")</f>
        <v>0</v>
      </c>
      <c r="AI29" s="2">
        <f>_xlfn.COUNTIFS(Право!$H$1:$H$1000,6,Право!$N$1:$N$1000,"Победитель",Право!$J$1:$J$1000,"имеются")</f>
        <v>0</v>
      </c>
      <c r="AJ29" s="2">
        <f>COUNTIF(Право!$H$1:$H$1000,7)</f>
        <v>0</v>
      </c>
      <c r="AK29" s="161">
        <f>_xlfn.COUNTIFS(Право!$H$1:$H$1000,7,Право!$G$1:$G$1000,"&lt;7")</f>
        <v>0</v>
      </c>
      <c r="AL29" s="161">
        <f>_xlfn.COUNTIFS(Право!$H$1:$H$1000,7,Право!$J$1:$J$1000,"имеются")</f>
        <v>0</v>
      </c>
      <c r="AM29" s="2">
        <f>_xlfn.COUNTIFS(Право!$H$1:$H$1000,7,Право!$N$1:$N$1000,"Призер")</f>
        <v>0</v>
      </c>
      <c r="AN29" s="2">
        <f>_xlfn.COUNTIFS(Право!$H$1:$H$1000,7,Право!$N$1:$N$1000,"Победитель")</f>
        <v>0</v>
      </c>
      <c r="AO29" s="2">
        <f>_xlfn.COUNTIFS(Право!$H$1:$H$1000,7,Право!$N$1:$N$1000,"Победитель",Право!$M$1:$M$1000,"100%")</f>
        <v>0</v>
      </c>
      <c r="AP29" s="2">
        <f>_xlfn.COUNTIFS(Право!$H$1:$H$1000,7,Право!$N$1:$N$1000,"Призер",Право!$J$1:$J$1000,"имеются")</f>
        <v>0</v>
      </c>
      <c r="AQ29" s="2">
        <f>_xlfn.COUNTIFS(Право!$H$1:$H$1000,7,Право!$N$1:$N$1000,"Победитель",Право!$J$1:$J$1000,"имеются")</f>
        <v>0</v>
      </c>
      <c r="AR29" s="2">
        <f>COUNTIF(Право!$H$1:$H$1000,8)</f>
        <v>0</v>
      </c>
      <c r="AS29" s="161">
        <f>_xlfn.COUNTIFS(Право!$H$1:$H$1000,8,Право!$G$1:$G$1000,"&lt;8")</f>
        <v>0</v>
      </c>
      <c r="AT29" s="161">
        <f>_xlfn.COUNTIFS(Право!$H$1:$H$1000,8,Право!$J$1:$J$1000,"имеются")</f>
        <v>0</v>
      </c>
      <c r="AU29" s="2">
        <f>_xlfn.COUNTIFS(Право!$H$1:$H$1000,8,Право!$N$1:$N$1000,"Призер")</f>
        <v>0</v>
      </c>
      <c r="AV29" s="2">
        <f>_xlfn.COUNTIFS(Право!$H$1:$H$1000,8,Право!$N$1:$N$1000,"Победитель")</f>
        <v>0</v>
      </c>
      <c r="AW29" s="2">
        <f>_xlfn.COUNTIFS(Право!$H$1:$H$1000,8,Право!$N$1:$N$1000,"Победитель",Право!$M$1:$M$1000,"100%")</f>
        <v>0</v>
      </c>
      <c r="AX29" s="2">
        <f>_xlfn.COUNTIFS(Право!$H$1:$H$1000,8,Право!$N$1:$N$1000,"Призер",Право!$J$1:$J$1000,"имеются")</f>
        <v>0</v>
      </c>
      <c r="AY29" s="2">
        <f>_xlfn.COUNTIFS(Право!$H$1:$H$1000,8,Право!$N$1:$N$1000,"Победитель",Право!$J$1:$J$1000,"имеются")</f>
        <v>0</v>
      </c>
      <c r="AZ29" s="2">
        <f>COUNTIF(Право!$H$1:$H$1000,9)</f>
        <v>0</v>
      </c>
      <c r="BA29" s="161">
        <f>_xlfn.COUNTIFS(Право!$H$1:$H$1000,9,Право!$G$1:$G$1000,"&lt;9")</f>
        <v>0</v>
      </c>
      <c r="BB29" s="161">
        <f>_xlfn.COUNTIFS(Право!$H$1:$H$1000,9,Право!$J$1:$J$1000,"имеются")</f>
        <v>0</v>
      </c>
      <c r="BC29" s="2">
        <f>_xlfn.COUNTIFS(Право!$H$1:$H$1000,9,Право!$N$1:$N$1000,"Призер")</f>
        <v>0</v>
      </c>
      <c r="BD29" s="2">
        <f>_xlfn.COUNTIFS(Право!$H$1:$H$1000,9,Право!$N$1:$N$1000,"Победитель")</f>
        <v>0</v>
      </c>
      <c r="BE29" s="2">
        <f>_xlfn.COUNTIFS(Право!$H$1:$H$1000,9,Право!$N$1:$N$1000,"Победитель",Право!$M$1:$M$1000,"100%")</f>
        <v>0</v>
      </c>
      <c r="BF29" s="2">
        <f>_xlfn.COUNTIFS(Право!$H$1:$H$1000,9,Право!$N$1:$N$1000,"Призер",Право!$J$1:$J$1000,"имеются")</f>
        <v>0</v>
      </c>
      <c r="BG29" s="2">
        <f>_xlfn.COUNTIFS(Право!$H$1:$H$1000,9,Право!$N$1:$N$1000,"Победитель",Право!$J$1:$J$1000,"имеются")</f>
        <v>0</v>
      </c>
      <c r="BH29" s="2">
        <f>COUNTIF(Право!$H$1:$H$1000,10)</f>
        <v>6</v>
      </c>
      <c r="BI29" s="161">
        <f>_xlfn.COUNTIFS(Право!$H$1:$H$1000,10,Право!$G$1:$G$1000,"&lt;10")</f>
        <v>0</v>
      </c>
      <c r="BJ29" s="161">
        <f>_xlfn.COUNTIFS(Право!$H$1:$H$1000,10,Право!$J$1:$J$1000,"имеются")</f>
        <v>0</v>
      </c>
      <c r="BK29" s="2">
        <f>_xlfn.COUNTIFS(Право!$H$1:$H$1000,10,Право!$N$1:$N$1000,"Призер")</f>
        <v>1</v>
      </c>
      <c r="BL29" s="2">
        <f>_xlfn.COUNTIFS(Право!$H$1:$H$1000,10,Право!$N$1:$N$1000,"Победитель")</f>
        <v>0</v>
      </c>
      <c r="BM29" s="2">
        <f>_xlfn.COUNTIFS(Право!$H$1:$H$1000,10,Право!$N$1:$N$1000,"Победитель",Право!$M$1:$M$1000,"100%")</f>
        <v>0</v>
      </c>
      <c r="BN29" s="2">
        <f>_xlfn.COUNTIFS(Право!$H$1:$H$1000,10,Право!$N$1:$N$1000,"Призер",Право!$J$1:$J$1000,"имеются")</f>
        <v>0</v>
      </c>
      <c r="BO29" s="2">
        <f>_xlfn.COUNTIFS(Право!$H$1:$H$1000,10,Право!$N$1:$N$1000,"Победитель",Право!$J$1:$J$1000,"имеются")</f>
        <v>0</v>
      </c>
      <c r="BP29" s="2">
        <f>COUNTIF(Право!$H$1:$H$1000,11)</f>
        <v>2</v>
      </c>
      <c r="BQ29" s="161">
        <f>_xlfn.COUNTIFS(Право!$H$1:$H$1000,11,Право!$G$1:$G$1000,"&lt;11")</f>
        <v>0</v>
      </c>
      <c r="BR29" s="161">
        <f>_xlfn.COUNTIFS(Право!$H$1:$H$1000,11,Право!$J$1:$J$1000,"имеются")</f>
        <v>0</v>
      </c>
      <c r="BS29" s="2">
        <f>_xlfn.COUNTIFS(Право!$H$1:$H$1000,11,Право!$N$1:$N$1000,"Призер")</f>
        <v>0</v>
      </c>
      <c r="BT29" s="2">
        <f>_xlfn.COUNTIFS(Право!$H$1:$H$1000,11,Право!$N$1:$N$1000,"Победитель")</f>
        <v>0</v>
      </c>
      <c r="BU29" s="2">
        <f>_xlfn.COUNTIFS(Право!$H$1:$H$1000,11,Право!$N$1:$N$1000,"Победитель",Право!$M$1:$M$1000,"100%")</f>
        <v>0</v>
      </c>
      <c r="BV29" s="2">
        <f>_xlfn.COUNTIFS(Право!$H$1:$H$1000,11,Право!$N$1:$N$1000,"Призер",Право!$J$1:$J$1000,"имеются")</f>
        <v>0</v>
      </c>
      <c r="BW29" s="2">
        <f>_xlfn.COUNTIFS(Право!$H$1:$H$1000,11,Право!$N$1:$N$1000,"Победитель",Право!$J$1:$J$1000,"имеются")</f>
        <v>0</v>
      </c>
      <c r="BX29" s="97">
        <f t="shared" si="7"/>
        <v>0.125</v>
      </c>
      <c r="BY29" s="303">
        <f>IF(Право!$S$1="1","Нет даты рождения","")</f>
      </c>
    </row>
    <row r="30" spans="1:77" ht="12.75">
      <c r="A30" s="33">
        <v>17</v>
      </c>
      <c r="B30" s="31" t="s">
        <v>9</v>
      </c>
      <c r="C30" s="14">
        <f t="shared" si="0"/>
        <v>1</v>
      </c>
      <c r="D30" s="2">
        <f>L30+T30+AB30+AJ30+AR30+AZ30+BH30+BP30</f>
        <v>66</v>
      </c>
      <c r="E30" s="2">
        <f>M30+U30+AC30+AK30+AS30+BA30+BI30+BQ30</f>
        <v>0</v>
      </c>
      <c r="F30" s="2">
        <f>N30+V30+AD30+AL30+AT30+BB30+BJ30+BR30</f>
        <v>0</v>
      </c>
      <c r="G30" s="2">
        <f>IF(SUM(O30,W30,AE30,AM30,AU30,BC30,BK30,BS30)&lt;&gt;COUNTIF(Русский_язык!$N$1:$N$1000,"Призер"),"Ошибка",SUM(O30,W30,AE30,AM30,AU30,BC30,BK30,BS30))</f>
        <v>6</v>
      </c>
      <c r="H30" s="2">
        <f>IF(SUM(P30,X30,AF30,AN30,AV30,BD30,BL30,BT30)&lt;&gt;COUNTIF(Русский_язык!$N$1:$N$1000,"Победитель"),"Ошибка",SUM(P30,X30,AF30,AN30,AV30,BD30,BL30,BT30))</f>
        <v>3</v>
      </c>
      <c r="I30" s="2">
        <f aca="true" t="shared" si="10" ref="I30:K31">Y30+AG30+AO30+AW30+BE30+BM30+BU30</f>
        <v>0</v>
      </c>
      <c r="J30" s="2">
        <f t="shared" si="10"/>
        <v>0</v>
      </c>
      <c r="K30" s="2">
        <f t="shared" si="10"/>
        <v>0</v>
      </c>
      <c r="L30" s="2">
        <f>COUNTIF(Русский_язык!$H$1:$H$1000,4)</f>
        <v>32</v>
      </c>
      <c r="M30" s="161">
        <f>_xlfn.COUNTIFS(Русский_язык!$H$1:$H$1000,4,Русский_язык!$G$1:$G$1000,"&lt;4")</f>
        <v>0</v>
      </c>
      <c r="N30" s="161">
        <f>_xlfn.COUNTIFS(Русский_язык!$H$1:$H$1000,4,Русский_язык!$J$1:$J$1000,"имеются")</f>
        <v>0</v>
      </c>
      <c r="O30" s="2">
        <f>_xlfn.COUNTIFS(Русский_язык!$H$1:$H$1000,4,Русский_язык!$N$1:$N$1000,"Призер")</f>
        <v>3</v>
      </c>
      <c r="P30" s="2">
        <f>_xlfn.COUNTIFS(Русский_язык!$H$1:$H$1000,4,Русский_язык!$N$1:$N$1000,"Победитель")</f>
        <v>1</v>
      </c>
      <c r="Q30" s="2">
        <f>_xlfn.COUNTIFS(Русский_язык!$H$1:$H$1000,4,Русский_язык!$N$1:$N$1000,"Победитель",Русский_язык!$M$1:$M$1000,"100%")</f>
        <v>0</v>
      </c>
      <c r="R30" s="2">
        <f>_xlfn.COUNTIFS(Русский_язык!$H$1:$H$1000,4,Русский_язык!$N$1:$N$1000,"Призер",Русский_язык!$J$1:$J$1000,"имеются")</f>
        <v>0</v>
      </c>
      <c r="S30" s="2">
        <f>_xlfn.COUNTIFS(Русский_язык!$H$1:$H$1000,4,Русский_язык!$N$1:$N$1000,"Победитель",Русский_язык!$M$1:$M$1000,"100%")</f>
        <v>0</v>
      </c>
      <c r="T30" s="2">
        <f>COUNTIF(Русский_язык!$H$1:$H$1000,5)</f>
        <v>5</v>
      </c>
      <c r="U30" s="161">
        <f>_xlfn.COUNTIFS(Русский_язык!$H$1:$H$1000,5,Русский_язык!$G$1:$G$1000,"&lt;5")</f>
        <v>0</v>
      </c>
      <c r="V30" s="161">
        <f>_xlfn.COUNTIFS(Русский_язык!$H$1:$H$1000,5,Русский_язык!$J$1:$J$1000,"имеются")</f>
        <v>0</v>
      </c>
      <c r="W30" s="2">
        <f>_xlfn.COUNTIFS(Русский_язык!$H$1:$H$1000,5,Русский_язык!$N$1:$N$1000,"Призер")</f>
        <v>0</v>
      </c>
      <c r="X30" s="2">
        <f>_xlfn.COUNTIFS(Русский_язык!$H$1:$H$1000,5,Русский_язык!$N$1:$N$1000,"Победитель")</f>
        <v>0</v>
      </c>
      <c r="Y30" s="2">
        <f>_xlfn.COUNTIFS(Русский_язык!$H$1:$H$1000,5,Русский_язык!$N$1:$N$1000,"Победитель",Русский_язык!$M$1:$M$1000,"100%")</f>
        <v>0</v>
      </c>
      <c r="Z30" s="2">
        <f>_xlfn.COUNTIFS(Русский_язык!$H$1:$H$1000,5,Русский_язык!$N$1:$N$1000,"Призер",Русский_язык!$J$1:$J$1000,"имеются")</f>
        <v>0</v>
      </c>
      <c r="AA30" s="2">
        <f>_xlfn.COUNTIFS(Русский_язык!$H$1:$H$1000,5,Русский_язык!$N$1:$N$1000,"Победитель",Русский_язык!$J$1:$J$1000,"имеются")</f>
        <v>0</v>
      </c>
      <c r="AB30" s="2">
        <f>COUNTIF(Русский_язык!$H$1:$H$1000,6)</f>
        <v>7</v>
      </c>
      <c r="AC30" s="161">
        <f>_xlfn.COUNTIFS(Русский_язык!$H$1:$H$1000,6,Русский_язык!$G$1:$G$1000,"&lt;6")</f>
        <v>0</v>
      </c>
      <c r="AD30" s="161">
        <f>_xlfn.COUNTIFS(Русский_язык!$H$1:$H$1000,6,Русский_язык!$J$1:$J$1000,"имеются")</f>
        <v>0</v>
      </c>
      <c r="AE30" s="2">
        <f>_xlfn.COUNTIFS(Русский_язык!$H$1:$H$1000,6,Русский_язык!$N$1:$N$1000,"Призер")</f>
        <v>1</v>
      </c>
      <c r="AF30" s="2">
        <f>_xlfn.COUNTIFS(Русский_язык!$H$1:$H$1000,6,Русский_язык!$N$1:$N$1000,"Победитель")</f>
        <v>1</v>
      </c>
      <c r="AG30" s="2">
        <f>_xlfn.COUNTIFS(Русский_язык!$H$1:$H$1000,6,Русский_язык!$N$1:$N$1000,"Победитель",Русский_язык!$M$1:$M$1000,"100%")</f>
        <v>0</v>
      </c>
      <c r="AH30" s="2">
        <f>_xlfn.COUNTIFS(Русский_язык!$H$1:$H$1000,6,Русский_язык!$N$1:$N$1000,"Призер",Русский_язык!$J$1:$J$1000,"имеются")</f>
        <v>0</v>
      </c>
      <c r="AI30" s="2">
        <f>_xlfn.COUNTIFS(Русский_язык!$H$1:$H$1000,6,Русский_язык!$N$1:$N$1000,"Победитель",Русский_язык!$J$1:$J$1000,"имеются")</f>
        <v>0</v>
      </c>
      <c r="AJ30" s="2">
        <f>COUNTIF(Русский_язык!$H$1:$H$1000,7)</f>
        <v>12</v>
      </c>
      <c r="AK30" s="161">
        <f>_xlfn.COUNTIFS(Русский_язык!$H$1:$H$1000,7,Русский_язык!$G$1:$G$1000,"&lt;7")</f>
        <v>0</v>
      </c>
      <c r="AL30" s="161">
        <f>_xlfn.COUNTIFS(Русский_язык!$H$1:$H$1000,7,Русский_язык!$J$1:$J$1000,"имеются")</f>
        <v>0</v>
      </c>
      <c r="AM30" s="2">
        <f>_xlfn.COUNTIFS(Русский_язык!$H$1:$H$1000,7,Русский_язык!$N$1:$N$1000,"Призер")</f>
        <v>1</v>
      </c>
      <c r="AN30" s="2">
        <f>_xlfn.COUNTIFS(Русский_язык!$H$1:$H$1000,7,Русский_язык!$N$1:$N$1000,"Победитель")</f>
        <v>1</v>
      </c>
      <c r="AO30" s="2">
        <f>_xlfn.COUNTIFS(Русский_язык!$H$1:$H$1000,7,Русский_язык!$N$1:$N$1000,"Победитель",Русский_язык!$M$1:$M$1000,"100%")</f>
        <v>0</v>
      </c>
      <c r="AP30" s="2">
        <f>_xlfn.COUNTIFS(Русский_язык!$H$1:$H$1000,7,Русский_язык!$N$1:$N$1000,"Призер",Русский_язык!$J$1:$J$1000,"имеются")</f>
        <v>0</v>
      </c>
      <c r="AQ30" s="2">
        <f>_xlfn.COUNTIFS(Русский_язык!$H$1:$H$1000,7,Русский_язык!$N$1:$N$1000,"Победитель",Русский_язык!$J$1:$J$1000,"имеются")</f>
        <v>0</v>
      </c>
      <c r="AR30" s="2">
        <f>COUNTIF(Русский_язык!$H$1:$H$1000,8)</f>
        <v>1</v>
      </c>
      <c r="AS30" s="161">
        <f>_xlfn.COUNTIFS(Русский_язык!$H$1:$H$1000,8,Русский_язык!$G$1:$G$1000,"&lt;8")</f>
        <v>0</v>
      </c>
      <c r="AT30" s="161">
        <f>_xlfn.COUNTIFS(Русский_язык!$H$1:$H$1000,8,Русский_язык!$J$1:$J$1000,"имеются")</f>
        <v>0</v>
      </c>
      <c r="AU30" s="2">
        <f>_xlfn.COUNTIFS(Русский_язык!$H$1:$H$1000,8,Русский_язык!$N$1:$N$1000,"Призер")</f>
        <v>0</v>
      </c>
      <c r="AV30" s="2">
        <f>_xlfn.COUNTIFS(Русский_язык!$H$1:$H$1000,8,Русский_язык!$N$1:$N$1000,"Победитель")</f>
        <v>0</v>
      </c>
      <c r="AW30" s="2">
        <f>_xlfn.COUNTIFS(Русский_язык!$H$1:$H$1000,8,Русский_язык!$N$1:$N$1000,"Победитель",Русский_язык!$M$1:$M$1000,"100%")</f>
        <v>0</v>
      </c>
      <c r="AX30" s="2">
        <f>_xlfn.COUNTIFS(Русский_язык!$H$1:$H$1000,8,Русский_язык!$N$1:$N$1000,"Призер",Русский_язык!$J$1:$J$1000,"имеются")</f>
        <v>0</v>
      </c>
      <c r="AY30" s="2">
        <f>_xlfn.COUNTIFS(Русский_язык!$H$1:$H$1000,8,Русский_язык!$N$1:$N$1000,"Победитель",Русский_язык!$J$1:$J$1000,"имеются")</f>
        <v>0</v>
      </c>
      <c r="AZ30" s="2">
        <f>COUNTIF(Русский_язык!$H$1:$H$1000,9)</f>
        <v>4</v>
      </c>
      <c r="BA30" s="161">
        <f>_xlfn.COUNTIFS(Русский_язык!$H$1:$H$1000,9,Русский_язык!$G$1:$G$1000,"&lt;9")</f>
        <v>0</v>
      </c>
      <c r="BB30" s="161">
        <f>_xlfn.COUNTIFS(Русский_язык!$H$1:$H$1000,9,Русский_язык!$J$1:$J$1000,"имеются")</f>
        <v>0</v>
      </c>
      <c r="BC30" s="2">
        <f>_xlfn.COUNTIFS(Русский_язык!$H$1:$H$1000,9,Русский_язык!$N$1:$N$1000,"Призер")</f>
        <v>1</v>
      </c>
      <c r="BD30" s="2">
        <f>_xlfn.COUNTIFS(Русский_язык!$H$1:$H$1000,9,Русский_язык!$N$1:$N$1000,"Победитель")</f>
        <v>0</v>
      </c>
      <c r="BE30" s="2">
        <f>_xlfn.COUNTIFS(Русский_язык!$H$1:$H$1000,9,Русский_язык!$N$1:$N$1000,"Победитель",Русский_язык!$M$1:$M$1000,"100%")</f>
        <v>0</v>
      </c>
      <c r="BF30" s="2">
        <f>_xlfn.COUNTIFS(Русский_язык!$H$1:$H$1000,9,Русский_язык!$N$1:$N$1000,"Призер",Русский_язык!$J$1:$J$1000,"имеются")</f>
        <v>0</v>
      </c>
      <c r="BG30" s="2">
        <f>_xlfn.COUNTIFS(Русский_язык!$H$1:$H$1000,9,Русский_язык!$N$1:$N$1000,"Победитель",Русский_язык!$J$1:$J$1000,"имеются")</f>
        <v>0</v>
      </c>
      <c r="BH30" s="2">
        <f>COUNTIF(Русский_язык!$H$1:$H$1000,10)</f>
        <v>3</v>
      </c>
      <c r="BI30" s="161">
        <f>_xlfn.COUNTIFS(Русский_язык!$H$1:$H$1000,10,Русский_язык!$G$1:$G$1000,"&lt;10")</f>
        <v>0</v>
      </c>
      <c r="BJ30" s="161">
        <f>_xlfn.COUNTIFS(Русский_язык!$H$1:$H$1000,10,Русский_язык!$J$1:$J$1000,"имеются")</f>
        <v>0</v>
      </c>
      <c r="BK30" s="2">
        <f>_xlfn.COUNTIFS(Русский_язык!$H$1:$H$1000,10,Русский_язык!$N$1:$N$1000,"Призер")</f>
        <v>0</v>
      </c>
      <c r="BL30" s="2">
        <f>_xlfn.COUNTIFS(Русский_язык!$H$1:$H$1000,10,Русский_язык!$N$1:$N$1000,"Победитель")</f>
        <v>0</v>
      </c>
      <c r="BM30" s="2">
        <f>_xlfn.COUNTIFS(Русский_язык!$H$1:$H$1000,10,Русский_язык!$N$1:$N$1000,"Победитель",Русский_язык!$M$1:$M$1000,"100%")</f>
        <v>0</v>
      </c>
      <c r="BN30" s="2">
        <f>_xlfn.COUNTIFS(Русский_язык!$H$1:$H$1000,10,Русский_язык!$N$1:$N$1000,"Призер",Русский_язык!$J$1:$J$1000,"имеются")</f>
        <v>0</v>
      </c>
      <c r="BO30" s="2">
        <f>_xlfn.COUNTIFS(Русский_язык!$H$1:$H$1000,10,Русский_язык!$N$1:$N$1000,"Победитель",Русский_язык!$J$1:$J$1000,"имеются")</f>
        <v>0</v>
      </c>
      <c r="BP30" s="2">
        <f>COUNTIF(Русский_язык!$H$1:$H$1000,11)</f>
        <v>2</v>
      </c>
      <c r="BQ30" s="161">
        <f>_xlfn.COUNTIFS(Русский_язык!$H$1:$H$1000,11,Русский_язык!$G$1:$G$1000,"&lt;11")</f>
        <v>0</v>
      </c>
      <c r="BR30" s="161">
        <f>_xlfn.COUNTIFS(Русский_язык!$H$1:$H$1000,11,Русский_язык!$J$1:$J$1000,"имеются")</f>
        <v>0</v>
      </c>
      <c r="BS30" s="2">
        <f>_xlfn.COUNTIFS(Русский_язык!$H$1:$H$1000,11,Русский_язык!$N$1:$N$1000,"Призер")</f>
        <v>0</v>
      </c>
      <c r="BT30" s="2">
        <f>_xlfn.COUNTIFS(Русский_язык!$H$1:$H$1000,11,Русский_язык!$N$1:$N$1000,"Победитель")</f>
        <v>0</v>
      </c>
      <c r="BU30" s="2">
        <f>_xlfn.COUNTIFS(Русский_язык!$H$1:$H$1000,11,Русский_язык!$N$1:$N$1000,"Победитель",Русский_язык!$M$1:$M$1000,"100%")</f>
        <v>0</v>
      </c>
      <c r="BV30" s="2">
        <f>_xlfn.COUNTIFS(Русский_язык!$H$1:$H$1000,11,Русский_язык!$N$1:$N$1000,"Призер",Русский_язык!$J$1:$J$1000,"имеются")</f>
        <v>0</v>
      </c>
      <c r="BW30" s="2">
        <f>_xlfn.COUNTIFS(Русский_язык!$H$1:$H$1000,11,Русский_язык!$N$1:$N$1000,"Победитель",Русский_язык!$J$1:$J$1000,"имеются")</f>
        <v>0</v>
      </c>
      <c r="BX30" s="97">
        <f t="shared" si="7"/>
        <v>0.13636363636363635</v>
      </c>
      <c r="BY30" s="303">
        <f>IF(Русский_язык!$S$1="1","Нет даты рождения","")</f>
      </c>
    </row>
    <row r="31" spans="1:77" ht="12.75">
      <c r="A31" s="33">
        <v>18</v>
      </c>
      <c r="B31" s="31" t="s">
        <v>16</v>
      </c>
      <c r="C31" s="14">
        <f t="shared" si="0"/>
        <v>0</v>
      </c>
      <c r="D31" s="2">
        <f aca="true" t="shared" si="11" ref="D31:E37">T31+AB31+AJ31+AR31+AZ31+BH31+BP31</f>
        <v>0</v>
      </c>
      <c r="E31" s="2">
        <f t="shared" si="11"/>
        <v>0</v>
      </c>
      <c r="F31" s="2">
        <f t="shared" si="3"/>
        <v>0</v>
      </c>
      <c r="G31" s="2">
        <f>IF(SUM(W31,AE31,AM31,AU31,BC31,BK31,BS31)&lt;&gt;COUNTIF(Технология!$N$1:$N$1000,"Призер"),"Ошибка",SUM(W31,AE31,AM31,AU31,BC31,BK31,BS31))</f>
        <v>0</v>
      </c>
      <c r="H31" s="2">
        <f>IF(SUM(X31,AF31,AN31,AV31,BD31,BL31,BT31)&lt;&gt;COUNTIF(Технология!$N$1:$N$1000,"Победитель"),"Ошибка",SUM(X31,AF31,AN31,AV31,BD31,BL31,BT31))</f>
        <v>0</v>
      </c>
      <c r="I31" s="2">
        <f t="shared" si="10"/>
        <v>0</v>
      </c>
      <c r="J31" s="2">
        <f t="shared" si="10"/>
        <v>0</v>
      </c>
      <c r="K31" s="2">
        <f t="shared" si="10"/>
        <v>0</v>
      </c>
      <c r="L31" s="2"/>
      <c r="M31" s="2"/>
      <c r="N31" s="2"/>
      <c r="O31" s="2"/>
      <c r="P31" s="2"/>
      <c r="Q31" s="2"/>
      <c r="R31" s="2"/>
      <c r="S31" s="2"/>
      <c r="T31" s="2">
        <f>COUNTIF(Технология!$H$1:$H$1000,5)</f>
        <v>0</v>
      </c>
      <c r="U31" s="161">
        <f>_xlfn.COUNTIFS(Технология!$H$1:$H$1000,5,Технология!$G$1:$G$1000,"&lt;5")</f>
        <v>0</v>
      </c>
      <c r="V31" s="161">
        <f>_xlfn.COUNTIFS(Технология!$H$1:$H$1000,5,Технология!$J$1:$J$1000,"имеются")</f>
        <v>0</v>
      </c>
      <c r="W31" s="2">
        <f>_xlfn.COUNTIFS(Технология!$H$1:$H$1000,5,Технология!$N$1:$N$1000,"Призер")</f>
        <v>0</v>
      </c>
      <c r="X31" s="2">
        <f>_xlfn.COUNTIFS(Технология!$H$1:$H$1000,5,Технология!$N$1:$N$1000,"Победитель")</f>
        <v>0</v>
      </c>
      <c r="Y31" s="2">
        <f>_xlfn.COUNTIFS(Технология!$H$1:$H$1000,5,Технология!$N$1:$N$1000,"Победитель",Технология!$M$1:$M$1000,"100%")</f>
        <v>0</v>
      </c>
      <c r="Z31" s="2">
        <f>_xlfn.COUNTIFS(Технология!$H$1:$H$1000,5,Технология!$N$1:$N$1000,"Призер",Технология!$J$1:$J$1000,"имеются")</f>
        <v>0</v>
      </c>
      <c r="AA31" s="2">
        <f>_xlfn.COUNTIFS(Технология!$H$1:$H$1000,5,Технология!$N$1:$N$1000,"Победитель",Технология!$J$1:$J$1000,"имеются")</f>
        <v>0</v>
      </c>
      <c r="AB31" s="2">
        <f>COUNTIF(Технология!$H$1:$H$1000,6)</f>
        <v>0</v>
      </c>
      <c r="AC31" s="161">
        <f>_xlfn.COUNTIFS(Технология!$H$1:$H$1000,6,Технология!$G$1:$G$1000,"&lt;6")</f>
        <v>0</v>
      </c>
      <c r="AD31" s="161">
        <f>_xlfn.COUNTIFS(Технология!$H$1:$H$1000,6,Технология!$J$1:$J$1000,"имеются")</f>
        <v>0</v>
      </c>
      <c r="AE31" s="2">
        <f>_xlfn.COUNTIFS(Технология!$H$1:$H$1000,6,Технология!$N$1:$N$1000,"Призер")</f>
        <v>0</v>
      </c>
      <c r="AF31" s="2">
        <f>_xlfn.COUNTIFS(Технология!$H$1:$H$1000,6,Технология!$N$1:$N$1000,"Победитель")</f>
        <v>0</v>
      </c>
      <c r="AG31" s="2">
        <f>_xlfn.COUNTIFS(Технология!$H$1:$H$1000,6,Технология!$N$1:$N$1000,"Победитель",Технология!$M$1:$M$1000,"100%")</f>
        <v>0</v>
      </c>
      <c r="AH31" s="2">
        <f>_xlfn.COUNTIFS(Технология!$H$1:$H$1000,6,Технология!$N$1:$N$1000,"Призер",Технология!$J$1:$J$1000,"имеются")</f>
        <v>0</v>
      </c>
      <c r="AI31" s="2">
        <f>_xlfn.COUNTIFS(Технология!$H$1:$H$1000,6,Технология!$N$1:$N$1000,"Победитель",Технология!$J$1:$J$1000,"имеются")</f>
        <v>0</v>
      </c>
      <c r="AJ31" s="2">
        <f>COUNTIF(Технология!$H$1:$H$1000,7)</f>
        <v>0</v>
      </c>
      <c r="AK31" s="161">
        <f>_xlfn.COUNTIFS(Технология!$H$1:$H$1000,7,Технология!$G$1:$G$1000,"&lt;7")</f>
        <v>0</v>
      </c>
      <c r="AL31" s="161">
        <f>_xlfn.COUNTIFS(Технология!$H$1:$H$1000,7,Технология!$J$1:$J$1000,"имеются")</f>
        <v>0</v>
      </c>
      <c r="AM31" s="2">
        <f>_xlfn.COUNTIFS(Технология!$H$1:$H$1000,7,Технология!$N$1:$N$1000,"Призер")</f>
        <v>0</v>
      </c>
      <c r="AN31" s="2">
        <f>_xlfn.COUNTIFS(Технология!$H$1:$H$1000,7,Технология!$N$1:$N$1000,"Победитель")</f>
        <v>0</v>
      </c>
      <c r="AO31" s="2">
        <f>_xlfn.COUNTIFS(Технология!$H$1:$H$1000,7,Технология!$N$1:$N$1000,"Победитель",Технология!$M$1:$M$1000,"100%")</f>
        <v>0</v>
      </c>
      <c r="AP31" s="2">
        <f>_xlfn.COUNTIFS(Технология!$H$1:$H$1000,7,Технология!$N$1:$N$1000,"Призер",Технология!$J$1:$J$1000,"имеются")</f>
        <v>0</v>
      </c>
      <c r="AQ31" s="2">
        <f>_xlfn.COUNTIFS(Технология!$H$1:$H$1000,7,Технология!$N$1:$N$1000,"Победитель",Технология!$J$1:$J$1000,"имеются")</f>
        <v>0</v>
      </c>
      <c r="AR31" s="2">
        <f>COUNTIF(Технология!$H$1:$H$1000,8)</f>
        <v>0</v>
      </c>
      <c r="AS31" s="161">
        <f>_xlfn.COUNTIFS(Технология!$H$1:$H$1000,8,Технология!$G$1:$G$1000,"&lt;8")</f>
        <v>0</v>
      </c>
      <c r="AT31" s="161">
        <f>_xlfn.COUNTIFS(Технология!$H$1:$H$1000,8,Технология!$J$1:$J$1000,"имеются")</f>
        <v>0</v>
      </c>
      <c r="AU31" s="2">
        <f>_xlfn.COUNTIFS(Технология!$H$1:$H$1000,8,Технология!$N$1:$N$1000,"Призер")</f>
        <v>0</v>
      </c>
      <c r="AV31" s="2">
        <f>_xlfn.COUNTIFS(Технология!$H$1:$H$1000,8,Технология!$N$1:$N$1000,"Победитель")</f>
        <v>0</v>
      </c>
      <c r="AW31" s="2">
        <f>_xlfn.COUNTIFS(Технология!$H$1:$H$1000,8,Технология!$N$1:$N$1000,"Победитель",Технология!$M$1:$M$1000,"100%")</f>
        <v>0</v>
      </c>
      <c r="AX31" s="2">
        <f>_xlfn.COUNTIFS(Технология!$H$1:$H$1000,8,Технология!$N$1:$N$1000,"Призер",Технология!$J$1:$J$1000,"имеются")</f>
        <v>0</v>
      </c>
      <c r="AY31" s="2">
        <f>_xlfn.COUNTIFS(Технология!$H$1:$H$1000,8,Технология!$N$1:$N$1000,"Победитель",Технология!$J$1:$J$1000,"имеются")</f>
        <v>0</v>
      </c>
      <c r="AZ31" s="2">
        <f>COUNTIF(Технология!$H$1:$H$1000,9)</f>
        <v>0</v>
      </c>
      <c r="BA31" s="161">
        <f>_xlfn.COUNTIFS(Технология!$H$1:$H$1000,9,Технология!$G$1:$G$1000,"&lt;9")</f>
        <v>0</v>
      </c>
      <c r="BB31" s="161">
        <f>_xlfn.COUNTIFS(Технология!$H$1:$H$1000,9,Технология!$J$1:$J$1000,"имеются")</f>
        <v>0</v>
      </c>
      <c r="BC31" s="2">
        <f>_xlfn.COUNTIFS(Технология!$H$1:$H$1000,9,Технология!$N$1:$N$1000,"Призер")</f>
        <v>0</v>
      </c>
      <c r="BD31" s="2">
        <f>_xlfn.COUNTIFS(Технология!$H$1:$H$1000,9,Технология!$N$1:$N$1000,"Победитель")</f>
        <v>0</v>
      </c>
      <c r="BE31" s="2">
        <f>_xlfn.COUNTIFS(Технология!$H$1:$H$1000,9,Технология!$N$1:$N$1000,"Победитель",Технология!$M$1:$M$1000,"100%")</f>
        <v>0</v>
      </c>
      <c r="BF31" s="2">
        <f>_xlfn.COUNTIFS(Технология!$H$1:$H$1000,9,Технология!$N$1:$N$1000,"Призер",Технология!$J$1:$J$1000,"имеются")</f>
        <v>0</v>
      </c>
      <c r="BG31" s="2">
        <f>_xlfn.COUNTIFS(Технология!$H$1:$H$1000,9,Технология!$N$1:$N$1000,"Победитель",Технология!$J$1:$J$1000,"имеются")</f>
        <v>0</v>
      </c>
      <c r="BH31" s="2">
        <f>COUNTIF(Технология!$H$1:$H$1000,10)</f>
        <v>0</v>
      </c>
      <c r="BI31" s="161">
        <f>_xlfn.COUNTIFS(Технология!$H$1:$H$1000,10,Технология!$G$1:$G$1000,"&lt;10")</f>
        <v>0</v>
      </c>
      <c r="BJ31" s="161">
        <f>_xlfn.COUNTIFS(Технология!$H$1:$H$1000,10,Технология!$J$1:$J$1000,"имеются")</f>
        <v>0</v>
      </c>
      <c r="BK31" s="2">
        <f>_xlfn.COUNTIFS(Технология!$H$1:$H$1000,10,Технология!$N$1:$N$1000,"Призер")</f>
        <v>0</v>
      </c>
      <c r="BL31" s="2">
        <f>_xlfn.COUNTIFS(Технология!$H$1:$H$1000,10,Технология!$N$1:$N$1000,"Победитель")</f>
        <v>0</v>
      </c>
      <c r="BM31" s="2">
        <f>_xlfn.COUNTIFS(Технология!$H$1:$H$1000,10,Технология!$N$1:$N$1000,"Победитель",Технология!$M$1:$M$1000,"100%")</f>
        <v>0</v>
      </c>
      <c r="BN31" s="2">
        <f>_xlfn.COUNTIFS(Технология!$H$1:$H$1000,10,Технология!$N$1:$N$1000,"Призер",Технология!$J$1:$J$1000,"имеются")</f>
        <v>0</v>
      </c>
      <c r="BO31" s="2">
        <f>_xlfn.COUNTIFS(Технология!$H$1:$H$1000,10,Технология!$N$1:$N$1000,"Победитель",Технология!$J$1:$J$1000,"имеются")</f>
        <v>0</v>
      </c>
      <c r="BP31" s="2">
        <f>COUNTIF(Технология!$H$1:$H$1000,11)</f>
        <v>0</v>
      </c>
      <c r="BQ31" s="161">
        <f>_xlfn.COUNTIFS(Технология!$H$1:$H$1000,11,Технология!$G$1:$G$1000,"&lt;11")</f>
        <v>0</v>
      </c>
      <c r="BR31" s="161">
        <f>_xlfn.COUNTIFS(Технология!$H$1:$H$1000,11,Технология!$J$1:$J$1000,"имеются")</f>
        <v>0</v>
      </c>
      <c r="BS31" s="2">
        <f>_xlfn.COUNTIFS(Технология!$H$1:$H$1000,11,Технология!$N$1:$N$1000,"Призер")</f>
        <v>0</v>
      </c>
      <c r="BT31" s="2">
        <f>_xlfn.COUNTIFS(Технология!$H$1:$H$1000,11,Технология!$N$1:$N$1000,"Победитель")</f>
        <v>0</v>
      </c>
      <c r="BU31" s="2">
        <f>_xlfn.COUNTIFS(Технология!$H$1:$H$1000,11,Технология!$N$1:$N$1000,"Победитель",Технология!$M$1:$M$1000,"100%")</f>
        <v>0</v>
      </c>
      <c r="BV31" s="2">
        <f>_xlfn.COUNTIFS(Технология!$H$1:$H$1000,11,Технология!$N$1:$N$1000,"Призер",Технология!$J$1:$J$1000,"имеются")</f>
        <v>0</v>
      </c>
      <c r="BW31" s="2">
        <f>_xlfn.COUNTIFS(Технология!$H$1:$H$1000,11,Технология!$N$1:$N$1000,"Победитель",Технология!$J$1:$J$1000,"имеются")</f>
        <v>0</v>
      </c>
      <c r="BX31" s="97" t="e">
        <f t="shared" si="7"/>
        <v>#DIV/0!</v>
      </c>
      <c r="BY31" s="303">
        <f>IF(Технология!$S$1="1","Нет даты рождения","")</f>
      </c>
    </row>
    <row r="32" spans="1:77" ht="12.75">
      <c r="A32" s="33">
        <v>19</v>
      </c>
      <c r="B32" s="31" t="s">
        <v>11</v>
      </c>
      <c r="C32" s="14">
        <f t="shared" si="0"/>
        <v>1</v>
      </c>
      <c r="D32" s="2">
        <f t="shared" si="11"/>
        <v>20</v>
      </c>
      <c r="E32" s="2">
        <f t="shared" si="11"/>
        <v>0</v>
      </c>
      <c r="F32" s="2">
        <f t="shared" si="3"/>
        <v>0</v>
      </c>
      <c r="G32" s="2">
        <f>IF(SUM(W32,AE32,AM32,AU32,BC32,BK32,BS32)&lt;&gt;COUNTIF(Физика!$N$1:$N$1000,"Призер"),"Ошибка",SUM(W32,AE32,AM32,AU32,BC32,BK32,BS32))</f>
        <v>1</v>
      </c>
      <c r="H32" s="2">
        <f>IF(SUM(X32,AF32,AN32,AV32,BD32,BL32,BT32)&lt;&gt;COUNTIF(Физика!$N$1:$N$1000,"Победитель"),"Ошибка",SUM(X32,AF32,AN32,AV32,BD32,BL32,BT32))</f>
        <v>1</v>
      </c>
      <c r="I32" s="2">
        <f aca="true" t="shared" si="12" ref="I32:I37">Y32+AG32+AO32+AW32+BE32+BM32+BU32</f>
        <v>0</v>
      </c>
      <c r="J32" s="2">
        <f aca="true" t="shared" si="13" ref="J32:J37">Z32+AH32+AP32+AX32+BF32+BN32+BV32</f>
        <v>0</v>
      </c>
      <c r="K32" s="2">
        <f aca="true" t="shared" si="14" ref="K32:K37">AA32+AI32+AQ32+AY32+BG32+BO32+BW32</f>
        <v>0</v>
      </c>
      <c r="L32" s="2"/>
      <c r="M32" s="2"/>
      <c r="N32" s="2"/>
      <c r="O32" s="2"/>
      <c r="P32" s="2"/>
      <c r="Q32" s="2"/>
      <c r="R32" s="2"/>
      <c r="S32" s="2"/>
      <c r="T32" s="2">
        <f>COUNTIF(Физика!$H$1:$H$1000,5)</f>
        <v>0</v>
      </c>
      <c r="U32" s="161">
        <f>_xlfn.COUNTIFS(Физика!$H$1:$H$1000,5,Физика!$G$1:$G$1000,"&lt;5")</f>
        <v>0</v>
      </c>
      <c r="V32" s="161">
        <f>_xlfn.COUNTIFS(Физика!$H$1:$H$1000,5,Физика!$J$1:$J$1000,"имеются")</f>
        <v>0</v>
      </c>
      <c r="W32" s="2">
        <f>_xlfn.COUNTIFS(Физика!$H$1:$H$1000,5,Физика!$N$1:$N$1000,"Призер")</f>
        <v>0</v>
      </c>
      <c r="X32" s="2">
        <f>_xlfn.COUNTIFS(Физика!$H$1:$H$1000,5,Физика!$N$1:$N$1000,"Победитель")</f>
        <v>0</v>
      </c>
      <c r="Y32" s="2">
        <f>_xlfn.COUNTIFS(Физика!$H$1:$H$1000,5,Физика!$N$1:$N$1000,"Победитель",Физика!$M$1:$M$1000,"100%")</f>
        <v>0</v>
      </c>
      <c r="Z32" s="2">
        <f>_xlfn.COUNTIFS(Физика!$H$1:$H$1000,5,Физика!$N$1:$N$1000,"Призер",Физика!$J$1:$J$1000,"имеются")</f>
        <v>0</v>
      </c>
      <c r="AA32" s="2">
        <f>_xlfn.COUNTIFS(Физика!$H$1:$H$1000,5,Физика!$N$1:$N$1000,"Победитель",Физика!$J$1:$J$1000,"имеются")</f>
        <v>0</v>
      </c>
      <c r="AB32" s="2">
        <f>COUNTIF(Физика!$H$1:$H$1000,6)</f>
        <v>0</v>
      </c>
      <c r="AC32" s="161">
        <f>_xlfn.COUNTIFS(Физика!$H$1:$H$1000,6,Физика!$G$1:$G$1000,"&lt;6")</f>
        <v>0</v>
      </c>
      <c r="AD32" s="161">
        <f>_xlfn.COUNTIFS(Физика!$H$1:$H$1000,6,Физика!$J$1:$J$1000,"имеются")</f>
        <v>0</v>
      </c>
      <c r="AE32" s="2">
        <f>_xlfn.COUNTIFS(Физика!$H$1:$H$1000,6,Физика!$N$1:$N$1000,"Призер")</f>
        <v>0</v>
      </c>
      <c r="AF32" s="2">
        <f>_xlfn.COUNTIFS(Физика!$H$1:$H$1000,6,Физика!$N$1:$N$1000,"Победитель")</f>
        <v>0</v>
      </c>
      <c r="AG32" s="2">
        <f>_xlfn.COUNTIFS(Физика!$H$1:$H$1000,6,Физика!$N$1:$N$1000,"Победитель",Физика!$M$1:$M$1000,"100%")</f>
        <v>0</v>
      </c>
      <c r="AH32" s="2">
        <f>_xlfn.COUNTIFS(Физика!$H$1:$H$1000,6,Физика!$N$1:$N$1000,"Призер",Физика!$J$1:$J$1000,"имеются")</f>
        <v>0</v>
      </c>
      <c r="AI32" s="2">
        <f>_xlfn.COUNTIFS(Физика!$H$1:$H$1000,6,Физика!$N$1:$N$1000,"Победитель",Физика!$J$1:$J$1000,"имеются")</f>
        <v>0</v>
      </c>
      <c r="AJ32" s="2">
        <f>COUNTIF(Физика!$H$1:$H$1000,7)</f>
        <v>5</v>
      </c>
      <c r="AK32" s="161">
        <f>_xlfn.COUNTIFS(Физика!$H$1:$H$1000,7,Физика!$G$1:$G$1000,"&lt;7")</f>
        <v>0</v>
      </c>
      <c r="AL32" s="161">
        <f>_xlfn.COUNTIFS(Физика!$H$1:$H$1000,7,Физика!$J$1:$J$1000,"имеются")</f>
        <v>0</v>
      </c>
      <c r="AM32" s="2">
        <f>_xlfn.COUNTIFS(Физика!$H$1:$H$1000,7,Физика!$N$1:$N$1000,"Призер")</f>
        <v>1</v>
      </c>
      <c r="AN32" s="2">
        <f>_xlfn.COUNTIFS(Физика!$H$1:$H$1000,7,Физика!$N$1:$N$1000,"Победитель")</f>
        <v>1</v>
      </c>
      <c r="AO32" s="2">
        <f>_xlfn.COUNTIFS(Физика!$H$1:$H$1000,7,Физика!$N$1:$N$1000,"Победитель",Физика!$M$1:$M$1000,"100%")</f>
        <v>0</v>
      </c>
      <c r="AP32" s="2">
        <f>_xlfn.COUNTIFS(Физика!$H$1:$H$1000,7,Физика!$N$1:$N$1000,"Призер",Физика!$J$1:$J$1000,"имеются")</f>
        <v>0</v>
      </c>
      <c r="AQ32" s="2">
        <f>_xlfn.COUNTIFS(Физика!$H$1:$H$1000,7,Физика!$N$1:$N$1000,"Победитель",Физика!$J$1:$J$1000,"имеются")</f>
        <v>0</v>
      </c>
      <c r="AR32" s="2">
        <f>COUNTIF(Физика!$H$1:$H$1000,8)</f>
        <v>8</v>
      </c>
      <c r="AS32" s="161">
        <f>_xlfn.COUNTIFS(Физика!$H$1:$H$1000,8,Физика!$G$1:$G$1000,"&lt;8")</f>
        <v>0</v>
      </c>
      <c r="AT32" s="161">
        <f>_xlfn.COUNTIFS(Физика!$H$1:$H$1000,8,Физика!$J$1:$J$1000,"имеются")</f>
        <v>0</v>
      </c>
      <c r="AU32" s="2">
        <f>_xlfn.COUNTIFS(Физика!$H$1:$H$1000,8,Физика!$N$1:$N$1000,"Призер")</f>
        <v>0</v>
      </c>
      <c r="AV32" s="2">
        <f>_xlfn.COUNTIFS(Физика!$H$1:$H$1000,8,Физика!$N$1:$N$1000,"Победитель")</f>
        <v>0</v>
      </c>
      <c r="AW32" s="2">
        <f>_xlfn.COUNTIFS(Физика!$H$1:$H$1000,8,Физика!$N$1:$N$1000,"Победитель",Физика!$M$1:$M$1000,"100%")</f>
        <v>0</v>
      </c>
      <c r="AX32" s="2">
        <f>_xlfn.COUNTIFS(Физика!$H$1:$H$1000,8,Физика!$N$1:$N$1000,"Призер",Физика!$J$1:$J$1000,"имеются")</f>
        <v>0</v>
      </c>
      <c r="AY32" s="2">
        <f>_xlfn.COUNTIFS(Физика!$H$1:$H$1000,8,Физика!$N$1:$N$1000,"Победитель",Физика!$J$1:$J$1000,"имеются")</f>
        <v>0</v>
      </c>
      <c r="AZ32" s="2">
        <f>COUNTIF(Физика!$H$1:$H$1000,9)</f>
        <v>5</v>
      </c>
      <c r="BA32" s="161">
        <f>_xlfn.COUNTIFS(Физика!$H$1:$H$1000,9,Физика!$G$1:$G$1000,"&lt;9")</f>
        <v>0</v>
      </c>
      <c r="BB32" s="161">
        <f>_xlfn.COUNTIFS(Физика!$H$1:$H$1000,9,Физика!$J$1:$J$1000,"имеются")</f>
        <v>0</v>
      </c>
      <c r="BC32" s="2">
        <f>_xlfn.COUNTIFS(Физика!$H$1:$H$1000,9,Физика!$N$1:$N$1000,"Призер")</f>
        <v>0</v>
      </c>
      <c r="BD32" s="2">
        <f>_xlfn.COUNTIFS(Физика!$H$1:$H$1000,9,Физика!$N$1:$N$1000,"Победитель")</f>
        <v>0</v>
      </c>
      <c r="BE32" s="2">
        <f>_xlfn.COUNTIFS(Физика!$H$1:$H$1000,9,Физика!$N$1:$N$1000,"Победитель",Физика!$M$1:$M$1000,"100%")</f>
        <v>0</v>
      </c>
      <c r="BF32" s="2">
        <f>_xlfn.COUNTIFS(Физика!$H$1:$H$1000,9,Физика!$N$1:$N$1000,"Призер",Физика!$J$1:$J$1000,"имеются")</f>
        <v>0</v>
      </c>
      <c r="BG32" s="2">
        <f>_xlfn.COUNTIFS(Физика!$H$1:$H$1000,9,Физика!$N$1:$N$1000,"Победитель",Физика!$J$1:$J$1000,"имеются")</f>
        <v>0</v>
      </c>
      <c r="BH32" s="2">
        <f>COUNTIF(Физика!$H$1:$H$1000,10)</f>
        <v>2</v>
      </c>
      <c r="BI32" s="161">
        <f>_xlfn.COUNTIFS(Физика!$H$1:$H$1000,10,Физика!$G$1:$G$1000,"&lt;10")</f>
        <v>0</v>
      </c>
      <c r="BJ32" s="161">
        <f>_xlfn.COUNTIFS(Физика!$H$1:$H$1000,10,Физика!$J$1:$J$1000,"имеются")</f>
        <v>0</v>
      </c>
      <c r="BK32" s="2">
        <f>_xlfn.COUNTIFS(Физика!$H$1:$H$1000,10,Физика!$N$1:$N$1000,"Призер")</f>
        <v>0</v>
      </c>
      <c r="BL32" s="2">
        <f>_xlfn.COUNTIFS(Физика!$H$1:$H$1000,10,Физика!$N$1:$N$1000,"Победитель")</f>
        <v>0</v>
      </c>
      <c r="BM32" s="2">
        <f>_xlfn.COUNTIFS(Физика!$H$1:$H$1000,10,Физика!$N$1:$N$1000,"Победитель",Физика!$M$1:$M$1000,"100%")</f>
        <v>0</v>
      </c>
      <c r="BN32" s="2">
        <f>_xlfn.COUNTIFS(Физика!$H$1:$H$1000,10,Физика!$N$1:$N$1000,"Призер",Физика!$J$1:$J$1000,"имеются")</f>
        <v>0</v>
      </c>
      <c r="BO32" s="2">
        <f>_xlfn.COUNTIFS(Физика!$H$1:$H$1000,10,Физика!$N$1:$N$1000,"Победитель",Физика!$J$1:$J$1000,"имеются")</f>
        <v>0</v>
      </c>
      <c r="BP32" s="2">
        <f>COUNTIF(Физика!$H$1:$H$1000,11)</f>
        <v>0</v>
      </c>
      <c r="BQ32" s="161">
        <f>_xlfn.COUNTIFS(Физика!$H$1:$H$1000,11,Физика!$G$1:$G$1000,"&lt;11")</f>
        <v>0</v>
      </c>
      <c r="BR32" s="161">
        <f>_xlfn.COUNTIFS(Физика!$H$1:$H$1000,11,Физика!$J$1:$J$1000,"имеются")</f>
        <v>0</v>
      </c>
      <c r="BS32" s="2">
        <f>_xlfn.COUNTIFS(Физика!$H$1:$H$1000,11,Физика!$N$1:$N$1000,"Призер")</f>
        <v>0</v>
      </c>
      <c r="BT32" s="2">
        <f>_xlfn.COUNTIFS(Физика!$H$1:$H$1000,11,Физика!$N$1:$N$1000,"Победитель")</f>
        <v>0</v>
      </c>
      <c r="BU32" s="2">
        <f>_xlfn.COUNTIFS(Физика!$H$1:$H$1000,11,Физика!$N$1:$N$1000,"Победитель",Физика!$M$1:$M$1000,"100%")</f>
        <v>0</v>
      </c>
      <c r="BV32" s="2">
        <f>_xlfn.COUNTIFS(Физика!$H$1:$H$1000,11,Физика!$N$1:$N$1000,"Призер",Физика!$J$1:$J$1000,"имеются")</f>
        <v>0</v>
      </c>
      <c r="BW32" s="2">
        <f>_xlfn.COUNTIFS(Физика!$H$1:$H$1000,11,Физика!$N$1:$N$1000,"Победитель",Физика!$J$1:$J$1000,"имеются")</f>
        <v>0</v>
      </c>
      <c r="BX32" s="97">
        <f t="shared" si="7"/>
        <v>0.1</v>
      </c>
      <c r="BY32" s="303">
        <f>IF(Физика!$S$1="1","Нет даты рождения","")</f>
      </c>
    </row>
    <row r="33" spans="1:77" ht="12.75">
      <c r="A33" s="33">
        <v>20</v>
      </c>
      <c r="B33" s="129" t="s">
        <v>20</v>
      </c>
      <c r="C33" s="14">
        <f t="shared" si="0"/>
        <v>1</v>
      </c>
      <c r="D33" s="2">
        <f t="shared" si="11"/>
        <v>9</v>
      </c>
      <c r="E33" s="2">
        <f t="shared" si="11"/>
        <v>0</v>
      </c>
      <c r="F33" s="2">
        <f t="shared" si="3"/>
        <v>0</v>
      </c>
      <c r="G33" s="2">
        <f>IF(SUM(W33,AE33,AM33,AU33,BC33,BK33,BS33)&lt;&gt;COUNTIF(Физическая_культура!$N$1:$N$1000,"Призер"),"Ошибка",SUM(W33,AE33,AM33,AU33,BC33,BK33,BS33))</f>
        <v>0</v>
      </c>
      <c r="H33" s="2">
        <f>IF(SUM(X33,AF33,AN33,AV33,BD33,BL33,BT33)&lt;&gt;COUNTIF(Физическая_культура!$N$1:$N$1000,"Победитель"),"Ошибка",SUM(X33,AF33,AN33,AV33,BD33,BL33,BT33))</f>
        <v>0</v>
      </c>
      <c r="I33" s="2">
        <f t="shared" si="12"/>
        <v>0</v>
      </c>
      <c r="J33" s="2">
        <f t="shared" si="13"/>
        <v>0</v>
      </c>
      <c r="K33" s="2">
        <f t="shared" si="14"/>
        <v>0</v>
      </c>
      <c r="L33" s="2"/>
      <c r="M33" s="2"/>
      <c r="N33" s="2"/>
      <c r="O33" s="2"/>
      <c r="P33" s="2"/>
      <c r="Q33" s="2"/>
      <c r="R33" s="2"/>
      <c r="S33" s="2"/>
      <c r="T33" s="2">
        <f>COUNTIF(Физическая_культура!$H$1:$H$1000,5)</f>
        <v>0</v>
      </c>
      <c r="U33" s="161">
        <f>_xlfn.COUNTIFS(Физическая_культура!$H$1:$H$1000,5,Физическая_культура!$G$1:$G$1000,"&lt;5")</f>
        <v>0</v>
      </c>
      <c r="V33" s="161">
        <f>_xlfn.COUNTIFS(Физическая_культура!$H$1:$H$1000,5,Физическая_культура!$J$1:$J$1000,"имеются")</f>
        <v>0</v>
      </c>
      <c r="W33" s="2">
        <f>_xlfn.COUNTIFS(Физическая_культура!$H$1:$H$1000,5,Физическая_культура!$N$1:$N$1000,"Призер")</f>
        <v>0</v>
      </c>
      <c r="X33" s="2">
        <f>_xlfn.COUNTIFS(Физическая_культура!$H$1:$H$1000,5,Физическая_культура!$N$1:$N$1000,"Победитель")</f>
        <v>0</v>
      </c>
      <c r="Y33" s="2">
        <f>_xlfn.COUNTIFS(Физическая_культура!$H$1:$H$1000,5,Физическая_культура!$N$1:$N$1000,"Победитель",Физическая_культура!$M$1:$M$1000,"100%")</f>
        <v>0</v>
      </c>
      <c r="Z33" s="2">
        <f>_xlfn.COUNTIFS(Физическая_культура!$H$1:$H$1000,5,Физическая_культура!$N$1:$N$1000,"Призер",Физическая_культура!$J$1:$J$1000,"имеются")</f>
        <v>0</v>
      </c>
      <c r="AA33" s="2">
        <f>_xlfn.COUNTIFS(Физическая_культура!$H$1:$H$1000,5,Физическая_культура!$N$1:$N$1000,"Победитель",Физическая_культура!$J$1:$J$1000,"имеются")</f>
        <v>0</v>
      </c>
      <c r="AB33" s="2">
        <f>COUNTIF(Физическая_культура!$H$1:$H$1000,6)</f>
        <v>0</v>
      </c>
      <c r="AC33" s="161">
        <f>_xlfn.COUNTIFS(Физическая_культура!$H$1:$H$1000,6,Физическая_культура!$G$1:$G$1000,"&lt;6")</f>
        <v>0</v>
      </c>
      <c r="AD33" s="161">
        <f>_xlfn.COUNTIFS(Физическая_культура!$H$1:$H$1000,6,Физическая_культура!$J$1:$J$1000,"имеются")</f>
        <v>0</v>
      </c>
      <c r="AE33" s="2">
        <f>_xlfn.COUNTIFS(Физическая_культура!$H$1:$H$1000,6,Физическая_культура!$N$1:$N$1000,"Призер")</f>
        <v>0</v>
      </c>
      <c r="AF33" s="2">
        <f>_xlfn.COUNTIFS(Физическая_культура!$H$1:$H$1000,6,Физическая_культура!$N$1:$N$1000,"Победитель")</f>
        <v>0</v>
      </c>
      <c r="AG33" s="2">
        <f>_xlfn.COUNTIFS(Физическая_культура!$H$1:$H$1000,6,Физическая_культура!$N$1:$N$1000,"Победитель",Физическая_культура!$M$1:$M$1000,"100%")</f>
        <v>0</v>
      </c>
      <c r="AH33" s="2">
        <f>_xlfn.COUNTIFS(Физическая_культура!$H$1:$H$1000,6,Физическая_культура!$N$1:$N$1000,"Призер",Физическая_культура!$J$1:$J$1000,"имеются")</f>
        <v>0</v>
      </c>
      <c r="AI33" s="2">
        <f>_xlfn.COUNTIFS(Физическая_культура!$H$1:$H$1000,6,Физическая_культура!$N$1:$N$1000,"Победитель",Физическая_культура!$J$1:$J$1000,"имеются")</f>
        <v>0</v>
      </c>
      <c r="AJ33" s="2">
        <f>COUNTIF(Физическая_культура!$H$1:$H$1000,7)</f>
        <v>0</v>
      </c>
      <c r="AK33" s="161">
        <f>_xlfn.COUNTIFS(Физическая_культура!$H$1:$H$1000,7,Физическая_культура!$G$1:$G$1000,"&lt;7")</f>
        <v>0</v>
      </c>
      <c r="AL33" s="161">
        <f>_xlfn.COUNTIFS(Физическая_культура!$H$1:$H$1000,7,Физическая_культура!$J$1:$J$1000,"имеются")</f>
        <v>0</v>
      </c>
      <c r="AM33" s="2">
        <f>_xlfn.COUNTIFS(Физическая_культура!$H$1:$H$1000,7,Физическая_культура!$N$1:$N$1000,"Призер")</f>
        <v>0</v>
      </c>
      <c r="AN33" s="2">
        <f>_xlfn.COUNTIFS(Физическая_культура!$H$1:$H$1000,7,Физическая_культура!$N$1:$N$1000,"Победитель")</f>
        <v>0</v>
      </c>
      <c r="AO33" s="2">
        <f>_xlfn.COUNTIFS(Физическая_культура!$H$1:$H$1000,7,Физическая_культура!$N$1:$N$1000,"Победитель",Физическая_культура!$M$1:$M$1000,"100%")</f>
        <v>0</v>
      </c>
      <c r="AP33" s="2">
        <f>_xlfn.COUNTIFS(Физическая_культура!$H$1:$H$1000,7,Физическая_культура!$N$1:$N$1000,"Призер",Физическая_культура!$J$1:$J$1000,"имеются")</f>
        <v>0</v>
      </c>
      <c r="AQ33" s="2">
        <f>_xlfn.COUNTIFS(Физическая_культура!$H$1:$H$1000,7,Физическая_культура!$N$1:$N$1000,"Победитель",Физическая_культура!$J$1:$J$1000,"имеются")</f>
        <v>0</v>
      </c>
      <c r="AR33" s="2">
        <f>COUNTIF(Физическая_культура!$H$1:$H$1000,8)</f>
        <v>0</v>
      </c>
      <c r="AS33" s="161">
        <f>_xlfn.COUNTIFS(Физическая_культура!$H$1:$H$1000,8,Физическая_культура!$G$1:$G$1000,"&lt;8")</f>
        <v>0</v>
      </c>
      <c r="AT33" s="161">
        <f>_xlfn.COUNTIFS(Физическая_культура!$H$1:$H$1000,8,Физическая_культура!$J$1:$J$1000,"имеются")</f>
        <v>0</v>
      </c>
      <c r="AU33" s="2">
        <f>_xlfn.COUNTIFS(Физическая_культура!$H$1:$H$1000,8,Физическая_культура!$N$1:$N$1000,"Призер")</f>
        <v>0</v>
      </c>
      <c r="AV33" s="2">
        <f>_xlfn.COUNTIFS(Физическая_культура!$H$1:$H$1000,8,Физическая_культура!$N$1:$N$1000,"Победитель")</f>
        <v>0</v>
      </c>
      <c r="AW33" s="2">
        <f>_xlfn.COUNTIFS(Физическая_культура!$H$1:$H$1000,8,Физическая_культура!$N$1:$N$1000,"Победитель",Физическая_культура!$M$1:$M$1000,"100%")</f>
        <v>0</v>
      </c>
      <c r="AX33" s="2">
        <f>_xlfn.COUNTIFS(Физическая_культура!$H$1:$H$1000,8,Физическая_культура!$N$1:$N$1000,"Призер",Физическая_культура!$J$1:$J$1000,"имеются")</f>
        <v>0</v>
      </c>
      <c r="AY33" s="2">
        <f>_xlfn.COUNTIFS(Физическая_культура!$H$1:$H$1000,8,Физическая_культура!$N$1:$N$1000,"Победитель",Физическая_культура!$J$1:$J$1000,"имеются")</f>
        <v>0</v>
      </c>
      <c r="AZ33" s="2">
        <f>COUNTIF(Физическая_культура!$H$1:$H$1000,9)</f>
        <v>6</v>
      </c>
      <c r="BA33" s="161">
        <f>_xlfn.COUNTIFS(Физическая_культура!$H$1:$H$1000,9,Физическая_культура!$G$1:$G$1000,"&lt;9")</f>
        <v>0</v>
      </c>
      <c r="BB33" s="161">
        <f>_xlfn.COUNTIFS(Физическая_культура!$H$1:$H$1000,9,Физическая_культура!$J$1:$J$1000,"имеются")</f>
        <v>0</v>
      </c>
      <c r="BC33" s="2">
        <f>_xlfn.COUNTIFS(Физическая_культура!$H$1:$H$1000,9,Физическая_культура!$N$1:$N$1000,"Призер")</f>
        <v>0</v>
      </c>
      <c r="BD33" s="2">
        <f>_xlfn.COUNTIFS(Физическая_культура!$H$1:$H$1000,9,Физическая_культура!$N$1:$N$1000,"Победитель")</f>
        <v>0</v>
      </c>
      <c r="BE33" s="2">
        <f>_xlfn.COUNTIFS(Физическая_культура!$H$1:$H$1000,9,Физическая_культура!$N$1:$N$1000,"Победитель",Физическая_культура!$M$1:$M$1000,"100%")</f>
        <v>0</v>
      </c>
      <c r="BF33" s="2">
        <f>_xlfn.COUNTIFS(Физическая_культура!$H$1:$H$1000,9,Физическая_культура!$N$1:$N$1000,"Призер",Физическая_культура!$J$1:$J$1000,"имеются")</f>
        <v>0</v>
      </c>
      <c r="BG33" s="2">
        <f>_xlfn.COUNTIFS(Физическая_культура!$H$1:$H$1000,9,Физическая_культура!$N$1:$N$1000,"Победитель",Физическая_культура!$J$1:$J$1000,"имеются")</f>
        <v>0</v>
      </c>
      <c r="BH33" s="2">
        <f>COUNTIF(Физическая_культура!$H$1:$H$1000,10)</f>
        <v>1</v>
      </c>
      <c r="BI33" s="161">
        <f>_xlfn.COUNTIFS(Физическая_культура!$H$1:$H$1000,10,Физическая_культура!$G$1:$G$1000,"&lt;10")</f>
        <v>0</v>
      </c>
      <c r="BJ33" s="161">
        <f>_xlfn.COUNTIFS(Физическая_культура!$H$1:$H$1000,10,Физическая_культура!$J$1:$J$1000,"имеются")</f>
        <v>0</v>
      </c>
      <c r="BK33" s="2">
        <f>_xlfn.COUNTIFS(Физическая_культура!$H$1:$H$1000,10,Физическая_культура!$N$1:$N$1000,"Призер")</f>
        <v>0</v>
      </c>
      <c r="BL33" s="2">
        <f>_xlfn.COUNTIFS(Физическая_культура!$H$1:$H$1000,10,Физическая_культура!$N$1:$N$1000,"Победитель")</f>
        <v>0</v>
      </c>
      <c r="BM33" s="2">
        <f>_xlfn.COUNTIFS(Физическая_культура!$H$1:$H$1000,10,Физическая_культура!$N$1:$N$1000,"Победитель",Физическая_культура!$M$1:$M$1000,"100%")</f>
        <v>0</v>
      </c>
      <c r="BN33" s="2">
        <f>_xlfn.COUNTIFS(Физическая_культура!$H$1:$H$1000,10,Физическая_культура!$N$1:$N$1000,"Призер",Физическая_культура!$J$1:$J$1000,"имеются")</f>
        <v>0</v>
      </c>
      <c r="BO33" s="2">
        <f>_xlfn.COUNTIFS(Физическая_культура!$H$1:$H$1000,10,Физическая_культура!$N$1:$N$1000,"Победитель",Физическая_культура!$J$1:$J$1000,"имеются")</f>
        <v>0</v>
      </c>
      <c r="BP33" s="2">
        <f>COUNTIF(Физическая_культура!$H$1:$H$1000,11)</f>
        <v>2</v>
      </c>
      <c r="BQ33" s="161">
        <f>_xlfn.COUNTIFS(Физическая_культура!$H$1:$H$1000,11,Физическая_культура!$G$1:$G$1000,"&lt;11")</f>
        <v>0</v>
      </c>
      <c r="BR33" s="161">
        <f>_xlfn.COUNTIFS(Физическая_культура!$H$1:$H$1000,11,Физическая_культура!$J$1:$J$1000,"имеются")</f>
        <v>0</v>
      </c>
      <c r="BS33" s="2">
        <f>_xlfn.COUNTIFS(Физическая_культура!$H$1:$H$1000,11,Физическая_культура!$N$1:$N$1000,"Призер")</f>
        <v>0</v>
      </c>
      <c r="BT33" s="2">
        <f>_xlfn.COUNTIFS(Физическая_культура!$H$1:$H$1000,11,Физическая_культура!$N$1:$N$1000,"Победитель")</f>
        <v>0</v>
      </c>
      <c r="BU33" s="2">
        <f>_xlfn.COUNTIFS(Физическая_культура!$H$1:$H$1000,11,Физическая_культура!$N$1:$N$1000,"Победитель",Физическая_культура!$M$1:$M$1000,"100%")</f>
        <v>0</v>
      </c>
      <c r="BV33" s="2">
        <f>_xlfn.COUNTIFS(Физическая_культура!$H$1:$H$1000,11,Физическая_культура!$N$1:$N$1000,"Призер",Физическая_культура!$J$1:$J$1000,"имеются")</f>
        <v>0</v>
      </c>
      <c r="BW33" s="2">
        <f>_xlfn.COUNTIFS(Физическая_культура!$H$1:$H$1000,11,Физическая_культура!$N$1:$N$1000,"Победитель",Физическая_культура!$J$1:$J$1000,"имеются")</f>
        <v>0</v>
      </c>
      <c r="BX33" s="97">
        <f t="shared" si="7"/>
        <v>0</v>
      </c>
      <c r="BY33" s="303">
        <f>IF(Физическая_культура!$S$1="1","Нет даты рождения","")</f>
      </c>
    </row>
    <row r="34" spans="1:77" ht="12.75">
      <c r="A34" s="33">
        <v>21</v>
      </c>
      <c r="B34" s="31" t="s">
        <v>14</v>
      </c>
      <c r="C34" s="14">
        <f t="shared" si="0"/>
        <v>0</v>
      </c>
      <c r="D34" s="2">
        <f t="shared" si="11"/>
        <v>0</v>
      </c>
      <c r="E34" s="2">
        <f t="shared" si="11"/>
        <v>0</v>
      </c>
      <c r="F34" s="2">
        <f t="shared" si="3"/>
        <v>0</v>
      </c>
      <c r="G34" s="2">
        <f>IF(SUM(W34,AE34,AM34,AU34,BC34,BK34,BS34)&lt;&gt;COUNTIF(Французский_язык!$N$1:$N$1000,"Призер"),"Ошибка",SUM(W34,AE34,AM34,AU34,BC34,BK34,BS34))</f>
        <v>0</v>
      </c>
      <c r="H34" s="2">
        <f>IF(SUM(X34,AF34,AN34,AV34,BD34,BL34,BT34)&lt;&gt;COUNTIF(Французский_язык!$N$1:$N$1000,"Победитель"),"Ошибка",SUM(X34,AF34,AN34,AV34,BD34,BL34,BT34))</f>
        <v>0</v>
      </c>
      <c r="I34" s="2">
        <f t="shared" si="12"/>
        <v>0</v>
      </c>
      <c r="J34" s="2">
        <f t="shared" si="13"/>
        <v>0</v>
      </c>
      <c r="K34" s="2">
        <f t="shared" si="14"/>
        <v>0</v>
      </c>
      <c r="L34" s="2"/>
      <c r="M34" s="2"/>
      <c r="N34" s="2"/>
      <c r="O34" s="2"/>
      <c r="P34" s="2"/>
      <c r="Q34" s="2"/>
      <c r="R34" s="2"/>
      <c r="S34" s="2"/>
      <c r="T34" s="2">
        <f>COUNTIF(Французский_язык!$H$1:$H$1000,5)</f>
        <v>0</v>
      </c>
      <c r="U34" s="161">
        <f>_xlfn.COUNTIFS(Французский_язык!$H$1:$H$1000,5,Французский_язык!$G$1:$G$1000,"&lt;5")</f>
        <v>0</v>
      </c>
      <c r="V34" s="161">
        <f>_xlfn.COUNTIFS(Французский_язык!$H$1:$H$1000,5,Французский_язык!$J$1:$J$1000,"имеются")</f>
        <v>0</v>
      </c>
      <c r="W34" s="2">
        <f>_xlfn.COUNTIFS(Французский_язык!$H$1:$H$1000,5,Французский_язык!$N$1:$N$1000,"Призер")</f>
        <v>0</v>
      </c>
      <c r="X34" s="2">
        <f>_xlfn.COUNTIFS(Французский_язык!$H$1:$H$1000,5,Французский_язык!$N$1:$N$1000,"Победитель")</f>
        <v>0</v>
      </c>
      <c r="Y34" s="2">
        <f>_xlfn.COUNTIFS(Французский_язык!$H$1:$H$1000,5,Французский_язык!$N$1:$N$1000,"Победитель",Французский_язык!$M$1:$M$1000,"100%")</f>
        <v>0</v>
      </c>
      <c r="Z34" s="2">
        <f>_xlfn.COUNTIFS(Французский_язык!$H$1:$H$1000,5,Французский_язык!$N$1:$N$1000,"Призер",Французский_язык!$J$1:$J$1000,"имеются")</f>
        <v>0</v>
      </c>
      <c r="AA34" s="2">
        <f>_xlfn.COUNTIFS(Французский_язык!$H$1:$H$1000,5,Французский_язык!$N$1:$N$1000,"Победитель",Французский_язык!$J$1:$J$1000,"имеются")</f>
        <v>0</v>
      </c>
      <c r="AB34" s="2">
        <f>COUNTIF(Французский_язык!$H$1:$H$1000,6)</f>
        <v>0</v>
      </c>
      <c r="AC34" s="161">
        <f>_xlfn.COUNTIFS(Французский_язык!$H$1:$H$1000,6,Французский_язык!$G$1:$G$1000,"&lt;6")</f>
        <v>0</v>
      </c>
      <c r="AD34" s="161">
        <f>_xlfn.COUNTIFS(Французский_язык!$H$1:$H$1000,6,Французский_язык!$J$1:$J$1000,"имеются")</f>
        <v>0</v>
      </c>
      <c r="AE34" s="2">
        <f>_xlfn.COUNTIFS(Французский_язык!$H$1:$H$1000,6,Французский_язык!$N$1:$N$1000,"Призер")</f>
        <v>0</v>
      </c>
      <c r="AF34" s="2">
        <f>_xlfn.COUNTIFS(Французский_язык!$H$1:$H$1000,6,Французский_язык!$N$1:$N$1000,"Победитель")</f>
        <v>0</v>
      </c>
      <c r="AG34" s="2">
        <f>_xlfn.COUNTIFS(Французский_язык!$H$1:$H$1000,6,Французский_язык!$N$1:$N$1000,"Победитель",Французский_язык!$M$1:$M$1000,"100%")</f>
        <v>0</v>
      </c>
      <c r="AH34" s="2">
        <f>_xlfn.COUNTIFS(Французский_язык!$H$1:$H$1000,6,Французский_язык!$N$1:$N$1000,"Призер",Французский_язык!$J$1:$J$1000,"имеются")</f>
        <v>0</v>
      </c>
      <c r="AI34" s="2">
        <f>_xlfn.COUNTIFS(Французский_язык!$H$1:$H$1000,6,Французский_язык!$N$1:$N$1000,"Победитель",Французский_язык!$J$1:$J$1000,"имеются")</f>
        <v>0</v>
      </c>
      <c r="AJ34" s="2">
        <f>COUNTIF(Французский_язык!$H$1:$H$1000,7)</f>
        <v>0</v>
      </c>
      <c r="AK34" s="161">
        <f>_xlfn.COUNTIFS(Французский_язык!$H$1:$H$1000,7,Французский_язык!$G$1:$G$1000,"&lt;7")</f>
        <v>0</v>
      </c>
      <c r="AL34" s="161">
        <f>_xlfn.COUNTIFS(Французский_язык!$H$1:$H$1000,7,Французский_язык!$J$1:$J$1000,"имеются")</f>
        <v>0</v>
      </c>
      <c r="AM34" s="2">
        <f>_xlfn.COUNTIFS(Французский_язык!$H$1:$H$1000,7,Французский_язык!$N$1:$N$1000,"Призер")</f>
        <v>0</v>
      </c>
      <c r="AN34" s="2">
        <f>_xlfn.COUNTIFS(Французский_язык!$H$1:$H$1000,7,Французский_язык!$N$1:$N$1000,"Победитель")</f>
        <v>0</v>
      </c>
      <c r="AO34" s="2">
        <f>_xlfn.COUNTIFS(Французский_язык!$H$1:$H$1000,7,Французский_язык!$N$1:$N$1000,"Победитель",Французский_язык!$M$1:$M$1000,"100%")</f>
        <v>0</v>
      </c>
      <c r="AP34" s="2">
        <f>_xlfn.COUNTIFS(Французский_язык!$H$1:$H$1000,7,Французский_язык!$N$1:$N$1000,"Призер",Французский_язык!$J$1:$J$1000,"имеются")</f>
        <v>0</v>
      </c>
      <c r="AQ34" s="2">
        <f>_xlfn.COUNTIFS(Французский_язык!$H$1:$H$1000,7,Французский_язык!$N$1:$N$1000,"Победитель",Французский_язык!$J$1:$J$1000,"имеются")</f>
        <v>0</v>
      </c>
      <c r="AR34" s="2">
        <f>COUNTIF(Французский_язык!$H$1:$H$1000,8)</f>
        <v>0</v>
      </c>
      <c r="AS34" s="161">
        <f>_xlfn.COUNTIFS(Французский_язык!$H$1:$H$1000,8,Французский_язык!$G$1:$G$1000,"&lt;8")</f>
        <v>0</v>
      </c>
      <c r="AT34" s="161">
        <f>_xlfn.COUNTIFS(Французский_язык!$H$1:$H$1000,8,Французский_язык!$J$1:$J$1000,"имеются")</f>
        <v>0</v>
      </c>
      <c r="AU34" s="2">
        <f>_xlfn.COUNTIFS(Французский_язык!$H$1:$H$1000,8,Французский_язык!$N$1:$N$1000,"Призер")</f>
        <v>0</v>
      </c>
      <c r="AV34" s="2">
        <f>_xlfn.COUNTIFS(Французский_язык!$H$1:$H$1000,8,Французский_язык!$N$1:$N$1000,"Победитель")</f>
        <v>0</v>
      </c>
      <c r="AW34" s="2">
        <f>_xlfn.COUNTIFS(Французский_язык!$H$1:$H$1000,8,Французский_язык!$N$1:$N$1000,"Победитель",Французский_язык!$M$1:$M$1000,"100%")</f>
        <v>0</v>
      </c>
      <c r="AX34" s="2">
        <f>_xlfn.COUNTIFS(Французский_язык!$H$1:$H$1000,8,Французский_язык!$N$1:$N$1000,"Призер",Французский_язык!$J$1:$J$1000,"имеются")</f>
        <v>0</v>
      </c>
      <c r="AY34" s="2">
        <f>_xlfn.COUNTIFS(Французский_язык!$H$1:$H$1000,8,Французский_язык!$N$1:$N$1000,"Победитель",Французский_язык!$J$1:$J$1000,"имеются")</f>
        <v>0</v>
      </c>
      <c r="AZ34" s="2">
        <f>COUNTIF(Французский_язык!$H$1:$H$1000,9)</f>
        <v>0</v>
      </c>
      <c r="BA34" s="161">
        <f>_xlfn.COUNTIFS(Французский_язык!$H$1:$H$1000,9,Французский_язык!$G$1:$G$1000,"&lt;9")</f>
        <v>0</v>
      </c>
      <c r="BB34" s="161">
        <f>_xlfn.COUNTIFS(Французский_язык!$H$1:$H$1000,9,Французский_язык!$J$1:$J$1000,"имеются")</f>
        <v>0</v>
      </c>
      <c r="BC34" s="2">
        <f>_xlfn.COUNTIFS(Французский_язык!$H$1:$H$1000,9,Французский_язык!$N$1:$N$1000,"Призер")</f>
        <v>0</v>
      </c>
      <c r="BD34" s="2">
        <f>_xlfn.COUNTIFS(Французский_язык!$H$1:$H$1000,9,Французский_язык!$N$1:$N$1000,"Победитель")</f>
        <v>0</v>
      </c>
      <c r="BE34" s="2">
        <f>_xlfn.COUNTIFS(Французский_язык!$H$1:$H$1000,9,Французский_язык!$N$1:$N$1000,"Победитель",Французский_язык!$M$1:$M$1000,"100%")</f>
        <v>0</v>
      </c>
      <c r="BF34" s="2">
        <f>_xlfn.COUNTIFS(Французский_язык!$H$1:$H$1000,9,Французский_язык!$N$1:$N$1000,"Призер",Французский_язык!$J$1:$J$1000,"имеются")</f>
        <v>0</v>
      </c>
      <c r="BG34" s="2">
        <f>_xlfn.COUNTIFS(Французский_язык!$H$1:$H$1000,9,Французский_язык!$N$1:$N$1000,"Победитель",Французский_язык!$J$1:$J$1000,"имеются")</f>
        <v>0</v>
      </c>
      <c r="BH34" s="2">
        <f>COUNTIF(Французский_язык!$H$1:$H$1000,10)</f>
        <v>0</v>
      </c>
      <c r="BI34" s="161">
        <f>_xlfn.COUNTIFS(Французский_язык!$H$1:$H$1000,10,Французский_язык!$G$1:$G$1000,"&lt;10")</f>
        <v>0</v>
      </c>
      <c r="BJ34" s="161">
        <f>_xlfn.COUNTIFS(Французский_язык!$H$1:$H$1000,10,Французский_язык!$J$1:$J$1000,"имеются")</f>
        <v>0</v>
      </c>
      <c r="BK34" s="2">
        <f>_xlfn.COUNTIFS(Французский_язык!$H$1:$H$1000,10,Французский_язык!$N$1:$N$1000,"Призер")</f>
        <v>0</v>
      </c>
      <c r="BL34" s="2">
        <f>_xlfn.COUNTIFS(Французский_язык!$H$1:$H$1000,10,Французский_язык!$N$1:$N$1000,"Победитель")</f>
        <v>0</v>
      </c>
      <c r="BM34" s="2">
        <f>_xlfn.COUNTIFS(Французский_язык!$H$1:$H$1000,10,Французский_язык!$N$1:$N$1000,"Победитель",Французский_язык!$M$1:$M$1000,"100%")</f>
        <v>0</v>
      </c>
      <c r="BN34" s="2">
        <f>_xlfn.COUNTIFS(Французский_язык!$H$1:$H$1000,10,Французский_язык!$N$1:$N$1000,"Призер",Французский_язык!$J$1:$J$1000,"имеются")</f>
        <v>0</v>
      </c>
      <c r="BO34" s="2">
        <f>_xlfn.COUNTIFS(Французский_язык!$H$1:$H$1000,10,Французский_язык!$N$1:$N$1000,"Победитель",Французский_язык!$J$1:$J$1000,"имеются")</f>
        <v>0</v>
      </c>
      <c r="BP34" s="2">
        <f>COUNTIF(Французский_язык!$H$1:$H$1000,11)</f>
        <v>0</v>
      </c>
      <c r="BQ34" s="161">
        <f>_xlfn.COUNTIFS(Французский_язык!$H$1:$H$1000,11,Французский_язык!$G$1:$G$1000,"&lt;11")</f>
        <v>0</v>
      </c>
      <c r="BR34" s="161">
        <f>_xlfn.COUNTIFS(Французский_язык!$H$1:$H$1000,11,Французский_язык!$J$1:$J$1000,"имеются")</f>
        <v>0</v>
      </c>
      <c r="BS34" s="2">
        <f>_xlfn.COUNTIFS(Французский_язык!$H$1:$H$1000,11,Французский_язык!$N$1:$N$1000,"Призер")</f>
        <v>0</v>
      </c>
      <c r="BT34" s="2">
        <f>_xlfn.COUNTIFS(Французский_язык!$H$1:$H$1000,11,Французский_язык!$N$1:$N$1000,"Победитель")</f>
        <v>0</v>
      </c>
      <c r="BU34" s="2">
        <f>_xlfn.COUNTIFS(Французский_язык!$H$1:$H$1000,11,Французский_язык!$N$1:$N$1000,"Победитель",Французский_язык!$M$1:$M$1000,"100%")</f>
        <v>0</v>
      </c>
      <c r="BV34" s="2">
        <f>_xlfn.COUNTIFS(Французский_язык!$H$1:$H$1000,11,Французский_язык!$N$1:$N$1000,"Призер",Французский_язык!$J$1:$J$1000,"имеются")</f>
        <v>0</v>
      </c>
      <c r="BW34" s="2">
        <f>_xlfn.COUNTIFS(Французский_язык!$H$1:$H$1000,11,Французский_язык!$N$1:$N$1000,"Победитель",Французский_язык!$J$1:$J$1000,"имеются")</f>
        <v>0</v>
      </c>
      <c r="BX34" s="97" t="e">
        <f t="shared" si="7"/>
        <v>#DIV/0!</v>
      </c>
      <c r="BY34" s="303">
        <f>IF(Французский_язык!$S$1="1","Нет даты рождения","")</f>
      </c>
    </row>
    <row r="35" spans="1:77" ht="12.75">
      <c r="A35" s="33">
        <v>22</v>
      </c>
      <c r="B35" s="31" t="s">
        <v>21</v>
      </c>
      <c r="C35" s="14">
        <f t="shared" si="0"/>
        <v>1</v>
      </c>
      <c r="D35" s="2">
        <f t="shared" si="11"/>
        <v>6</v>
      </c>
      <c r="E35" s="2">
        <f t="shared" si="11"/>
        <v>0</v>
      </c>
      <c r="F35" s="2">
        <f t="shared" si="3"/>
        <v>0</v>
      </c>
      <c r="G35" s="2">
        <f>IF(SUM(W35,AE35,AM35,AU35,BC35,BK35,BS35)&lt;&gt;COUNTIF(Химия!$N$1:$N$1000,"Призер"),"Ошибка",SUM(W35,AE35,AM35,AU35,BC35,BK35,BS35))</f>
        <v>0</v>
      </c>
      <c r="H35" s="2">
        <f>IF(SUM(X35,AF35,AN35,AV35,BD35,BL35,BT35)&lt;&gt;COUNTIF(Химия!$N$1:$N$1000,"Победитель"),"Ошибка",SUM(X35,AF35,AN35,AV35,BD35,BL35,BT35))</f>
        <v>0</v>
      </c>
      <c r="I35" s="2">
        <f t="shared" si="12"/>
        <v>0</v>
      </c>
      <c r="J35" s="2">
        <f t="shared" si="13"/>
        <v>0</v>
      </c>
      <c r="K35" s="2">
        <f t="shared" si="14"/>
        <v>0</v>
      </c>
      <c r="L35" s="2"/>
      <c r="M35" s="2"/>
      <c r="N35" s="2"/>
      <c r="O35" s="2"/>
      <c r="P35" s="2"/>
      <c r="Q35" s="2"/>
      <c r="R35" s="2"/>
      <c r="S35" s="2"/>
      <c r="T35" s="2">
        <f>COUNTIF(Химия!$H$1:$H$1000,5)</f>
        <v>0</v>
      </c>
      <c r="U35" s="161">
        <f>_xlfn.COUNTIFS(Химия!$H$1:$H$1000,5,Химия!$G$1:$G$1000,"&lt;5")</f>
        <v>0</v>
      </c>
      <c r="V35" s="161">
        <f>_xlfn.COUNTIFS(Химия!$H$1:$H$1000,5,Химия!$J$1:$J$1000,"имеются")</f>
        <v>0</v>
      </c>
      <c r="W35" s="2">
        <f>_xlfn.COUNTIFS(Химия!$H$1:$H$1000,5,Химия!$N$1:$N$1000,"Призер")</f>
        <v>0</v>
      </c>
      <c r="X35" s="2">
        <f>_xlfn.COUNTIFS(Химия!$H$1:$H$1000,5,Химия!$N$1:$N$1000,"Победитель")</f>
        <v>0</v>
      </c>
      <c r="Y35" s="2">
        <f>_xlfn.COUNTIFS(Химия!$H$1:$H$1000,5,Химия!$N$1:$N$1000,"Победитель",Химия!$M$1:$M$1000,"100%")</f>
        <v>0</v>
      </c>
      <c r="Z35" s="2">
        <f>_xlfn.COUNTIFS(Химия!$H$1:$H$1000,5,Химия!$N$1:$N$1000,"Призер",Химия!$J$1:$J$1000,"имеются")</f>
        <v>0</v>
      </c>
      <c r="AA35" s="2">
        <f>_xlfn.COUNTIFS(Химия!$H$1:$H$1000,5,Химия!$N$1:$N$1000,"Победитель",Химия!$J$1:$J$1000,"имеются")</f>
        <v>0</v>
      </c>
      <c r="AB35" s="2">
        <f>COUNTIF(Химия!$H$1:$H$1000,6)</f>
        <v>0</v>
      </c>
      <c r="AC35" s="161">
        <f>_xlfn.COUNTIFS(Химия!$H$1:$H$1000,6,Химия!$G$1:$G$1000,"&lt;6")</f>
        <v>0</v>
      </c>
      <c r="AD35" s="161">
        <f>_xlfn.COUNTIFS(Химия!$H$1:$H$1000,6,Химия!$J$1:$J$1000,"имеются")</f>
        <v>0</v>
      </c>
      <c r="AE35" s="2">
        <f>_xlfn.COUNTIFS(Химия!$H$1:$H$1000,6,Химия!$N$1:$N$1000,"Призер")</f>
        <v>0</v>
      </c>
      <c r="AF35" s="2">
        <f>_xlfn.COUNTIFS(Химия!$H$1:$H$1000,6,Химия!$N$1:$N$1000,"Победитель")</f>
        <v>0</v>
      </c>
      <c r="AG35" s="2">
        <f>_xlfn.COUNTIFS(Химия!$H$1:$H$1000,6,Химия!$N$1:$N$1000,"Победитель",Химия!$M$1:$M$1000,"100%")</f>
        <v>0</v>
      </c>
      <c r="AH35" s="2">
        <f>_xlfn.COUNTIFS(Химия!$H$1:$H$1000,6,Химия!$N$1:$N$1000,"Призер",Химия!$J$1:$J$1000,"имеются")</f>
        <v>0</v>
      </c>
      <c r="AI35" s="2">
        <f>_xlfn.COUNTIFS(Химия!$H$1:$H$1000,6,Химия!$N$1:$N$1000,"Победитель",Химия!$J$1:$J$1000,"имеются")</f>
        <v>0</v>
      </c>
      <c r="AJ35" s="2">
        <f>COUNTIF(Химия!$H$1:$H$1000,7)</f>
        <v>0</v>
      </c>
      <c r="AK35" s="161">
        <f>_xlfn.COUNTIFS(Химия!$H$1:$H$1000,7,Химия!$G$1:$G$1000,"&lt;7")</f>
        <v>0</v>
      </c>
      <c r="AL35" s="161">
        <f>_xlfn.COUNTIFS(Химия!$H$1:$H$1000,7,Химия!$J$1:$J$1000,"имеются")</f>
        <v>0</v>
      </c>
      <c r="AM35" s="2">
        <f>_xlfn.COUNTIFS(Химия!$H$1:$H$1000,7,Химия!$N$1:$N$1000,"Призер")</f>
        <v>0</v>
      </c>
      <c r="AN35" s="2">
        <f>_xlfn.COUNTIFS(Химия!$H$1:$H$1000,7,Химия!$N$1:$N$1000,"Победитель")</f>
        <v>0</v>
      </c>
      <c r="AO35" s="2">
        <f>_xlfn.COUNTIFS(Химия!$H$1:$H$1000,7,Химия!$N$1:$N$1000,"Победитель",Химия!$M$1:$M$1000,"100%")</f>
        <v>0</v>
      </c>
      <c r="AP35" s="2">
        <f>_xlfn.COUNTIFS(Химия!$H$1:$H$1000,7,Химия!$N$1:$N$1000,"Призер",Химия!$J$1:$J$1000,"имеются")</f>
        <v>0</v>
      </c>
      <c r="AQ35" s="2">
        <f>_xlfn.COUNTIFS(Химия!$H$1:$H$1000,7,Химия!$N$1:$N$1000,"Победитель",Химия!$J$1:$J$1000,"имеются")</f>
        <v>0</v>
      </c>
      <c r="AR35" s="2">
        <f>COUNTIF(Химия!$H$1:$H$1000,8)</f>
        <v>2</v>
      </c>
      <c r="AS35" s="161">
        <f>_xlfn.COUNTIFS(Химия!$H$1:$H$1000,8,Химия!$G$1:$G$1000,"&lt;8")</f>
        <v>0</v>
      </c>
      <c r="AT35" s="161">
        <f>_xlfn.COUNTIFS(Химия!$H$1:$H$1000,8,Химия!$J$1:$J$1000,"имеются")</f>
        <v>0</v>
      </c>
      <c r="AU35" s="2">
        <f>_xlfn.COUNTIFS(Химия!$H$1:$H$1000,8,Химия!$N$1:$N$1000,"Призер")</f>
        <v>0</v>
      </c>
      <c r="AV35" s="2">
        <f>_xlfn.COUNTIFS(Химия!$H$1:$H$1000,8,Химия!$N$1:$N$1000,"Победитель")</f>
        <v>0</v>
      </c>
      <c r="AW35" s="2">
        <f>_xlfn.COUNTIFS(Химия!$H$1:$H$1000,8,Химия!$N$1:$N$1000,"Победитель",Химия!$M$1:$M$1000,"100%")</f>
        <v>0</v>
      </c>
      <c r="AX35" s="2">
        <f>_xlfn.COUNTIFS(Химия!$H$1:$H$1000,8,Химия!$N$1:$N$1000,"Призер",Химия!$J$1:$J$1000,"имеются")</f>
        <v>0</v>
      </c>
      <c r="AY35" s="2">
        <f>_xlfn.COUNTIFS(Химия!$H$1:$H$1000,8,Химия!$N$1:$N$1000,"Победитель",Химия!$J$1:$J$1000,"имеются")</f>
        <v>0</v>
      </c>
      <c r="AZ35" s="2">
        <f>COUNTIF(Химия!$H$1:$H$1000,9)</f>
        <v>3</v>
      </c>
      <c r="BA35" s="161">
        <f>_xlfn.COUNTIFS(Химия!$H$1:$H$1000,9,Химия!$G$1:$G$1000,"&lt;9")</f>
        <v>0</v>
      </c>
      <c r="BB35" s="161">
        <f>_xlfn.COUNTIFS(Химия!$H$1:$H$1000,9,Химия!$J$1:$J$1000,"имеются")</f>
        <v>0</v>
      </c>
      <c r="BC35" s="2">
        <f>_xlfn.COUNTIFS(Химия!$H$1:$H$1000,9,Химия!$N$1:$N$1000,"Призер")</f>
        <v>0</v>
      </c>
      <c r="BD35" s="2">
        <f>_xlfn.COUNTIFS(Химия!$H$1:$H$1000,9,Химия!$N$1:$N$1000,"Победитель")</f>
        <v>0</v>
      </c>
      <c r="BE35" s="2">
        <f>_xlfn.COUNTIFS(Химия!$H$1:$H$1000,9,Химия!$N$1:$N$1000,"Победитель",Химия!$M$1:$M$1000,"100%")</f>
        <v>0</v>
      </c>
      <c r="BF35" s="2">
        <f>_xlfn.COUNTIFS(Химия!$H$1:$H$1000,9,Химия!$N$1:$N$1000,"Призер",Химия!$J$1:$J$1000,"имеются")</f>
        <v>0</v>
      </c>
      <c r="BG35" s="2">
        <f>_xlfn.COUNTIFS(Химия!$H$1:$H$1000,9,Химия!$N$1:$N$1000,"Победитель",Химия!$J$1:$J$1000,"имеются")</f>
        <v>0</v>
      </c>
      <c r="BH35" s="2">
        <f>COUNTIF(Химия!$H$1:$H$1000,10)</f>
        <v>0</v>
      </c>
      <c r="BI35" s="161">
        <f>_xlfn.COUNTIFS(Химия!$H$1:$H$1000,10,Химия!$G$1:$G$1000,"&lt;10")</f>
        <v>0</v>
      </c>
      <c r="BJ35" s="161">
        <f>_xlfn.COUNTIFS(Химия!$H$1:$H$1000,10,Химия!$J$1:$J$1000,"имеются")</f>
        <v>0</v>
      </c>
      <c r="BK35" s="2">
        <f>_xlfn.COUNTIFS(Химия!$H$1:$H$1000,10,Химия!$N$1:$N$1000,"Призер")</f>
        <v>0</v>
      </c>
      <c r="BL35" s="2">
        <f>_xlfn.COUNTIFS(Химия!$H$1:$H$1000,10,Химия!$N$1:$N$1000,"Победитель")</f>
        <v>0</v>
      </c>
      <c r="BM35" s="2">
        <f>_xlfn.COUNTIFS(Химия!$H$1:$H$1000,10,Химия!$N$1:$N$1000,"Победитель",Химия!$M$1:$M$1000,"100%")</f>
        <v>0</v>
      </c>
      <c r="BN35" s="2">
        <f>_xlfn.COUNTIFS(Химия!$H$1:$H$1000,10,Химия!$N$1:$N$1000,"Призер",Химия!$J$1:$J$1000,"имеются")</f>
        <v>0</v>
      </c>
      <c r="BO35" s="2">
        <f>_xlfn.COUNTIFS(Химия!$H$1:$H$1000,10,Химия!$N$1:$N$1000,"Победитель",Химия!$J$1:$J$1000,"имеются")</f>
        <v>0</v>
      </c>
      <c r="BP35" s="2">
        <f>COUNTIF(Химия!$H$1:$H$1000,11)</f>
        <v>1</v>
      </c>
      <c r="BQ35" s="161">
        <f>_xlfn.COUNTIFS(Химия!$H$1:$H$1000,11,Химия!$G$1:$G$1000,"&lt;11")</f>
        <v>0</v>
      </c>
      <c r="BR35" s="161">
        <f>_xlfn.COUNTIFS(Химия!$H$1:$H$1000,11,Химия!$J$1:$J$1000,"имеются")</f>
        <v>0</v>
      </c>
      <c r="BS35" s="2">
        <f>_xlfn.COUNTIFS(Химия!$H$1:$H$1000,11,Химия!$N$1:$N$1000,"Призер")</f>
        <v>0</v>
      </c>
      <c r="BT35" s="2">
        <f>_xlfn.COUNTIFS(Химия!$H$1:$H$1000,11,Химия!$N$1:$N$1000,"Победитель")</f>
        <v>0</v>
      </c>
      <c r="BU35" s="2">
        <f>_xlfn.COUNTIFS(Химия!$H$1:$H$1000,11,Химия!$N$1:$N$1000,"Победитель",Химия!$M$1:$M$1000,"100%")</f>
        <v>0</v>
      </c>
      <c r="BV35" s="2">
        <f>_xlfn.COUNTIFS(Химия!$H$1:$H$1000,11,Химия!$N$1:$N$1000,"Призер",Химия!$J$1:$J$1000,"имеются")</f>
        <v>0</v>
      </c>
      <c r="BW35" s="2">
        <f>_xlfn.COUNTIFS(Химия!$H$1:$H$1000,11,Химия!$N$1:$N$1000,"Победитель",Химия!$J$1:$J$1000,"имеются")</f>
        <v>0</v>
      </c>
      <c r="BX35" s="97">
        <f t="shared" si="7"/>
        <v>0</v>
      </c>
      <c r="BY35" s="303">
        <f>IF(Химия!$S$1="1","Нет даты рождения","")</f>
      </c>
    </row>
    <row r="36" spans="1:77" ht="12.75">
      <c r="A36" s="33">
        <v>23</v>
      </c>
      <c r="B36" s="31" t="s">
        <v>17</v>
      </c>
      <c r="C36" s="14">
        <f t="shared" si="0"/>
        <v>1</v>
      </c>
      <c r="D36" s="2">
        <f t="shared" si="11"/>
        <v>2</v>
      </c>
      <c r="E36" s="2">
        <f t="shared" si="11"/>
        <v>0</v>
      </c>
      <c r="F36" s="2">
        <f t="shared" si="3"/>
        <v>0</v>
      </c>
      <c r="G36" s="2">
        <f>IF(SUM(W36,AE36,AM36,AU36,BC36,BK36,BS36)&lt;&gt;COUNTIF(Экология!$N$1:$N$1000,"Призер"),"Ошибка",SUM(W36,AE36,AM36,AU36,BC36,BK36,BS36))</f>
        <v>0</v>
      </c>
      <c r="H36" s="2">
        <f>IF(SUM(X36,AF36,AN36,AV36,BD36,BL36,BT36)&lt;&gt;COUNTIF(Экология!$N$1:$N$1000,"Победитель"),"Ошибка",SUM(X36,AF36,AN36,AV36,BD36,BL36,BT36))</f>
        <v>0</v>
      </c>
      <c r="I36" s="2">
        <f t="shared" si="12"/>
        <v>0</v>
      </c>
      <c r="J36" s="2">
        <f t="shared" si="13"/>
        <v>0</v>
      </c>
      <c r="K36" s="2">
        <f t="shared" si="14"/>
        <v>0</v>
      </c>
      <c r="L36" s="2"/>
      <c r="M36" s="2"/>
      <c r="N36" s="2"/>
      <c r="O36" s="2"/>
      <c r="P36" s="2"/>
      <c r="Q36" s="2"/>
      <c r="R36" s="2"/>
      <c r="S36" s="2"/>
      <c r="T36" s="2">
        <f>COUNTIF(Экология!$H$1:$H$1000,5)</f>
        <v>0</v>
      </c>
      <c r="U36" s="161">
        <f>_xlfn.COUNTIFS(Экология!$H$1:$H$1000,5,Экология!$G$1:$G$1000,"&lt;5")</f>
        <v>0</v>
      </c>
      <c r="V36" s="161">
        <f>_xlfn.COUNTIFS(Экология!$H$1:$H$1000,5,Экология!$J$1:$J$1000,"имеются")</f>
        <v>0</v>
      </c>
      <c r="W36" s="2">
        <f>_xlfn.COUNTIFS(Экология!$H$1:$H$1000,5,Экология!$N$1:$N$1000,"Призер")</f>
        <v>0</v>
      </c>
      <c r="X36" s="2">
        <f>_xlfn.COUNTIFS(Экология!$H$1:$H$1000,5,Экология!$N$1:$N$1000,"Победитель")</f>
        <v>0</v>
      </c>
      <c r="Y36" s="2">
        <f>_xlfn.COUNTIFS(Экология!$H$1:$H$1000,5,Экология!$N$1:$N$1000,"Победитель",Экология!$M$1:$M$1000,"100%")</f>
        <v>0</v>
      </c>
      <c r="Z36" s="2">
        <f>_xlfn.COUNTIFS(Экология!$H$1:$H$1000,5,Экология!$N$1:$N$1000,"Призер",Экология!$J$1:$J$1000,"имеются")</f>
        <v>0</v>
      </c>
      <c r="AA36" s="2">
        <f>_xlfn.COUNTIFS(Экология!$H$1:$H$1000,5,Экология!$N$1:$N$1000,"Победитель",Экология!$J$1:$J$1000,"имеются")</f>
        <v>0</v>
      </c>
      <c r="AB36" s="2">
        <f>COUNTIF(Экология!$H$1:$H$1000,6)</f>
        <v>0</v>
      </c>
      <c r="AC36" s="161">
        <f>_xlfn.COUNTIFS(Экология!$H$1:$H$1000,6,Экология!$G$1:$G$1000,"&lt;6")</f>
        <v>0</v>
      </c>
      <c r="AD36" s="161">
        <f>_xlfn.COUNTIFS(Экология!$H$1:$H$1000,6,Экология!$J$1:$J$1000,"имеются")</f>
        <v>0</v>
      </c>
      <c r="AE36" s="2">
        <f>_xlfn.COUNTIFS(Экология!$H$1:$H$1000,6,Экология!$N$1:$N$1000,"Призер")</f>
        <v>0</v>
      </c>
      <c r="AF36" s="2">
        <f>_xlfn.COUNTIFS(Экология!$H$1:$H$1000,6,Экология!$N$1:$N$1000,"Победитель")</f>
        <v>0</v>
      </c>
      <c r="AG36" s="2">
        <f>_xlfn.COUNTIFS(Экология!$H$1:$H$1000,6,Экология!$N$1:$N$1000,"Победитель",Экология!$M$1:$M$1000,"100%")</f>
        <v>0</v>
      </c>
      <c r="AH36" s="2">
        <f>_xlfn.COUNTIFS(Экология!$H$1:$H$1000,6,Экология!$N$1:$N$1000,"Призер",Экология!$J$1:$J$1000,"имеются")</f>
        <v>0</v>
      </c>
      <c r="AI36" s="2">
        <f>_xlfn.COUNTIFS(Экология!$H$1:$H$1000,6,Экология!$N$1:$N$1000,"Победитель",Экология!$J$1:$J$1000,"имеются")</f>
        <v>0</v>
      </c>
      <c r="AJ36" s="2">
        <f>COUNTIF(Экология!$H$1:$H$1000,7)</f>
        <v>0</v>
      </c>
      <c r="AK36" s="161">
        <f>_xlfn.COUNTIFS(Экология!$H$1:$H$1000,7,Экология!$G$1:$G$1000,"&lt;7")</f>
        <v>0</v>
      </c>
      <c r="AL36" s="161">
        <f>_xlfn.COUNTIFS(Экология!$H$1:$H$1000,7,Экология!$J$1:$J$1000,"имеются")</f>
        <v>0</v>
      </c>
      <c r="AM36" s="2">
        <f>_xlfn.COUNTIFS(Экология!$H$1:$H$1000,7,Экология!$N$1:$N$1000,"Призер")</f>
        <v>0</v>
      </c>
      <c r="AN36" s="2">
        <f>_xlfn.COUNTIFS(Экология!$H$1:$H$1000,7,Экология!$N$1:$N$1000,"Победитель")</f>
        <v>0</v>
      </c>
      <c r="AO36" s="2">
        <f>_xlfn.COUNTIFS(Экология!$H$1:$H$1000,7,Экология!$N$1:$N$1000,"Победитель",Экология!$M$1:$M$1000,"100%")</f>
        <v>0</v>
      </c>
      <c r="AP36" s="2">
        <f>_xlfn.COUNTIFS(Экология!$H$1:$H$1000,7,Экология!$N$1:$N$1000,"Призер",Экология!$J$1:$J$1000,"имеются")</f>
        <v>0</v>
      </c>
      <c r="AQ36" s="2">
        <f>_xlfn.COUNTIFS(Экология!$H$1:$H$1000,7,Экология!$N$1:$N$1000,"Победитель",Экология!$J$1:$J$1000,"имеются")</f>
        <v>0</v>
      </c>
      <c r="AR36" s="2">
        <f>COUNTIF(Экология!$H$1:$H$1000,8)</f>
        <v>0</v>
      </c>
      <c r="AS36" s="161">
        <f>_xlfn.COUNTIFS(Экология!$H$1:$H$1000,8,Экология!$G$1:$G$1000,"&lt;8")</f>
        <v>0</v>
      </c>
      <c r="AT36" s="161">
        <f>_xlfn.COUNTIFS(Экология!$H$1:$H$1000,8,Экология!$J$1:$J$1000,"имеются")</f>
        <v>0</v>
      </c>
      <c r="AU36" s="2">
        <f>_xlfn.COUNTIFS(Экология!$H$1:$H$1000,8,Экология!$N$1:$N$1000,"Призер")</f>
        <v>0</v>
      </c>
      <c r="AV36" s="2">
        <f>_xlfn.COUNTIFS(Экология!$H$1:$H$1000,8,Экология!$N$1:$N$1000,"Победитель")</f>
        <v>0</v>
      </c>
      <c r="AW36" s="2">
        <f>_xlfn.COUNTIFS(Экология!$H$1:$H$1000,8,Экология!$N$1:$N$1000,"Победитель",Экология!$M$1:$M$1000,"100%")</f>
        <v>0</v>
      </c>
      <c r="AX36" s="2">
        <f>_xlfn.COUNTIFS(Экология!$H$1:$H$1000,8,Экология!$N$1:$N$1000,"Призер",Экология!$J$1:$J$1000,"имеются")</f>
        <v>0</v>
      </c>
      <c r="AY36" s="2">
        <f>_xlfn.COUNTIFS(Экология!$H$1:$H$1000,8,Экология!$N$1:$N$1000,"Победитель",Экология!$J$1:$J$1000,"имеются")</f>
        <v>0</v>
      </c>
      <c r="AZ36" s="2">
        <f>COUNTIF(Экология!$H$1:$H$1000,9)</f>
        <v>0</v>
      </c>
      <c r="BA36" s="161">
        <f>_xlfn.COUNTIFS(Экология!$H$1:$H$1000,9,Экология!$G$1:$G$1000,"&lt;9")</f>
        <v>0</v>
      </c>
      <c r="BB36" s="161">
        <f>_xlfn.COUNTIFS(Экология!$H$1:$H$1000,9,Экология!$J$1:$J$1000,"имеются")</f>
        <v>0</v>
      </c>
      <c r="BC36" s="2">
        <f>_xlfn.COUNTIFS(Экология!$H$1:$H$1000,9,Экология!$N$1:$N$1000,"Призер")</f>
        <v>0</v>
      </c>
      <c r="BD36" s="2">
        <f>_xlfn.COUNTIFS(Экология!$H$1:$H$1000,9,Экология!$N$1:$N$1000,"Победитель")</f>
        <v>0</v>
      </c>
      <c r="BE36" s="2">
        <f>_xlfn.COUNTIFS(Экология!$H$1:$H$1000,9,Экология!$N$1:$N$1000,"Победитель",Экология!$M$1:$M$1000,"100%")</f>
        <v>0</v>
      </c>
      <c r="BF36" s="2">
        <f>_xlfn.COUNTIFS(Экология!$H$1:$H$1000,9,Экология!$N$1:$N$1000,"Призер",Экология!$J$1:$J$1000,"имеются")</f>
        <v>0</v>
      </c>
      <c r="BG36" s="2">
        <f>_xlfn.COUNTIFS(Экология!$H$1:$H$1000,9,Экология!$N$1:$N$1000,"Победитель",Экология!$J$1:$J$1000,"имеются")</f>
        <v>0</v>
      </c>
      <c r="BH36" s="2">
        <f>COUNTIF(Экология!$H$1:$H$1000,10)</f>
        <v>0</v>
      </c>
      <c r="BI36" s="161">
        <f>_xlfn.COUNTIFS(Экология!$H$1:$H$1000,10,Экология!$G$1:$G$1000,"&lt;10")</f>
        <v>0</v>
      </c>
      <c r="BJ36" s="161">
        <f>_xlfn.COUNTIFS(Экология!$H$1:$H$1000,10,Экология!$J$1:$J$1000,"имеются")</f>
        <v>0</v>
      </c>
      <c r="BK36" s="2">
        <f>_xlfn.COUNTIFS(Экология!$H$1:$H$1000,10,Экология!$N$1:$N$1000,"Призер")</f>
        <v>0</v>
      </c>
      <c r="BL36" s="2">
        <f>_xlfn.COUNTIFS(Экология!$H$1:$H$1000,10,Экология!$N$1:$N$1000,"Победитель")</f>
        <v>0</v>
      </c>
      <c r="BM36" s="2">
        <f>_xlfn.COUNTIFS(Экология!$H$1:$H$1000,10,Экология!$N$1:$N$1000,"Победитель",Экология!$M$1:$M$1000,"100%")</f>
        <v>0</v>
      </c>
      <c r="BN36" s="2">
        <f>_xlfn.COUNTIFS(Экология!$H$1:$H$1000,10,Экология!$N$1:$N$1000,"Призер",Экология!$J$1:$J$1000,"имеются")</f>
        <v>0</v>
      </c>
      <c r="BO36" s="2">
        <f>_xlfn.COUNTIFS(Экология!$H$1:$H$1000,10,Экология!$N$1:$N$1000,"Победитель",Экология!$J$1:$J$1000,"имеются")</f>
        <v>0</v>
      </c>
      <c r="BP36" s="2">
        <f>COUNTIF(Экология!$H$1:$H$1000,11)</f>
        <v>2</v>
      </c>
      <c r="BQ36" s="161">
        <f>_xlfn.COUNTIFS(Экология!$H$1:$H$1000,11,Экология!$G$1:$G$1000,"&lt;11")</f>
        <v>0</v>
      </c>
      <c r="BR36" s="161">
        <f>_xlfn.COUNTIFS(Экология!$H$1:$H$1000,11,Экология!$J$1:$J$1000,"имеются")</f>
        <v>0</v>
      </c>
      <c r="BS36" s="2">
        <f>_xlfn.COUNTIFS(Экология!$H$1:$H$1000,11,Экология!$N$1:$N$1000,"Призер")</f>
        <v>0</v>
      </c>
      <c r="BT36" s="2">
        <f>_xlfn.COUNTIFS(Экология!$H$1:$H$1000,11,Экология!$N$1:$N$1000,"Победитель")</f>
        <v>0</v>
      </c>
      <c r="BU36" s="2">
        <f>_xlfn.COUNTIFS(Экология!$H$1:$H$1000,11,Экология!$N$1:$N$1000,"Победитель",Экология!$M$1:$M$1000,"100%")</f>
        <v>0</v>
      </c>
      <c r="BV36" s="2">
        <f>_xlfn.COUNTIFS(Экология!$H$1:$H$1000,11,Экология!$N$1:$N$1000,"Призер",Экология!$J$1:$J$1000,"имеются")</f>
        <v>0</v>
      </c>
      <c r="BW36" s="2">
        <f>_xlfn.COUNTIFS(Экология!$H$1:$H$1000,11,Экология!$N$1:$N$1000,"Победитель",Экология!$J$1:$J$1000,"имеются")</f>
        <v>0</v>
      </c>
      <c r="BX36" s="97">
        <f t="shared" si="7"/>
        <v>0</v>
      </c>
      <c r="BY36" s="303">
        <f>IF(Экология!$S$1="1","Нет даты рождения","")</f>
      </c>
    </row>
    <row r="37" spans="1:77" ht="12.75">
      <c r="A37" s="33">
        <v>24</v>
      </c>
      <c r="B37" s="31" t="s">
        <v>23</v>
      </c>
      <c r="C37" s="14">
        <f t="shared" si="0"/>
        <v>1</v>
      </c>
      <c r="D37" s="2">
        <f t="shared" si="11"/>
        <v>6</v>
      </c>
      <c r="E37" s="2">
        <f t="shared" si="11"/>
        <v>0</v>
      </c>
      <c r="F37" s="2">
        <f t="shared" si="3"/>
        <v>0</v>
      </c>
      <c r="G37" s="2">
        <f>IF(SUM(W37,AE37,AM37,AU37,BC37,BK37,BS37)&lt;&gt;COUNTIF(Экономика!$N$1:$N$1000,"Призер"),"Ошибка",SUM(W37,AE37,AM37,AU37,BC37,BK37,BS37))</f>
        <v>0</v>
      </c>
      <c r="H37" s="2">
        <f>IF(SUM(X37,AF37,AN37,AV37,BD37,BL37,BT37)&lt;&gt;COUNTIF(Экономика!$N$1:$N$1000,"Победитель"),"Ошибка",SUM(X37,AF37,AN37,AV37,BD37,BL37,BT37))</f>
        <v>0</v>
      </c>
      <c r="I37" s="2">
        <f t="shared" si="12"/>
        <v>0</v>
      </c>
      <c r="J37" s="2">
        <f t="shared" si="13"/>
        <v>0</v>
      </c>
      <c r="K37" s="2">
        <f t="shared" si="14"/>
        <v>0</v>
      </c>
      <c r="L37" s="2"/>
      <c r="M37" s="2"/>
      <c r="N37" s="2"/>
      <c r="O37" s="2"/>
      <c r="P37" s="2"/>
      <c r="Q37" s="2"/>
      <c r="R37" s="2"/>
      <c r="S37" s="2"/>
      <c r="T37" s="2">
        <f>COUNTIF(Экономика!$H$1:$H$1000,5)</f>
        <v>0</v>
      </c>
      <c r="U37" s="161">
        <f>_xlfn.COUNTIFS(Экономика!$H$1:$H$1000,5,Экономика!$G$1:$G$1000,"&lt;5")</f>
        <v>0</v>
      </c>
      <c r="V37" s="161">
        <f>_xlfn.COUNTIFS(Экономика!$H$1:$H$1000,5,Экономика!$J$1:$J$1000,"имеются")</f>
        <v>0</v>
      </c>
      <c r="W37" s="2">
        <f>_xlfn.COUNTIFS(Экономика!$H$1:$H$1000,5,Экономика!$N$1:$N$1000,"Призер")</f>
        <v>0</v>
      </c>
      <c r="X37" s="2">
        <f>_xlfn.COUNTIFS(Экономика!$H$1:$H$1000,5,Экономика!$N$1:$N$1000,"Победитель")</f>
        <v>0</v>
      </c>
      <c r="Y37" s="2">
        <f>_xlfn.COUNTIFS(Экономика!$H$1:$H$1000,5,Экономика!$N$1:$N$1000,"Победитель",Экономика!$M$1:$M$1000,"100%")</f>
        <v>0</v>
      </c>
      <c r="Z37" s="2">
        <f>_xlfn.COUNTIFS(Экономика!$H$1:$H$1000,5,Экономика!$N$1:$N$1000,"Призер",Экономика!$J$1:$J$1000,"имеются")</f>
        <v>0</v>
      </c>
      <c r="AA37" s="2">
        <f>_xlfn.COUNTIFS(Экономика!$H$1:$H$1000,5,Экономика!$N$1:$N$1000,"Победитель",Экономика!$J$1:$J$1000,"имеются")</f>
        <v>0</v>
      </c>
      <c r="AB37" s="2">
        <f>COUNTIF(Экономика!$H$1:$H$1000,6)</f>
        <v>0</v>
      </c>
      <c r="AC37" s="161">
        <f>_xlfn.COUNTIFS(Экономика!$H$1:$H$1000,6,Экономика!$G$1:$G$1000,"&lt;6")</f>
        <v>0</v>
      </c>
      <c r="AD37" s="161">
        <f>_xlfn.COUNTIFS(Экономика!$H$1:$H$1000,6,Экономика!$J$1:$J$1000,"имеются")</f>
        <v>0</v>
      </c>
      <c r="AE37" s="2">
        <f>_xlfn.COUNTIFS(Экономика!$H$1:$H$1000,6,Экономика!$N$1:$N$1000,"Призер")</f>
        <v>0</v>
      </c>
      <c r="AF37" s="2">
        <f>_xlfn.COUNTIFS(Экономика!$H$1:$H$1000,6,Экономика!$N$1:$N$1000,"Победитель")</f>
        <v>0</v>
      </c>
      <c r="AG37" s="2">
        <f>_xlfn.COUNTIFS(Экономика!$H$1:$H$1000,6,Экономика!$N$1:$N$1000,"Победитель",Экономика!$M$1:$M$1000,"100%")</f>
        <v>0</v>
      </c>
      <c r="AH37" s="2">
        <f>_xlfn.COUNTIFS(Экономика!$H$1:$H$1000,6,Экономика!$N$1:$N$1000,"Призер",Экономика!$J$1:$J$1000,"имеются")</f>
        <v>0</v>
      </c>
      <c r="AI37" s="2">
        <f>_xlfn.COUNTIFS(Экономика!$H$1:$H$1000,6,Экономика!$N$1:$N$1000,"Победитель",Экономика!$J$1:$J$1000,"имеются")</f>
        <v>0</v>
      </c>
      <c r="AJ37" s="2">
        <f>COUNTIF(Экономика!$H$1:$H$1000,7)</f>
        <v>0</v>
      </c>
      <c r="AK37" s="161">
        <f>_xlfn.COUNTIFS(Экономика!$H$1:$H$1000,7,Экономика!$G$1:$G$1000,"&lt;7")</f>
        <v>0</v>
      </c>
      <c r="AL37" s="161">
        <f>_xlfn.COUNTIFS(Экономика!$H$1:$H$1000,7,Экономика!$J$1:$J$1000,"имеются")</f>
        <v>0</v>
      </c>
      <c r="AM37" s="2">
        <f>_xlfn.COUNTIFS(Экономика!$H$1:$H$1000,7,Экономика!$N$1:$N$1000,"Призер")</f>
        <v>0</v>
      </c>
      <c r="AN37" s="2">
        <f>_xlfn.COUNTIFS(Экономика!$H$1:$H$1000,7,Экономика!$N$1:$N$1000,"Победитель")</f>
        <v>0</v>
      </c>
      <c r="AO37" s="2">
        <f>_xlfn.COUNTIFS(Экономика!$H$1:$H$1000,7,Экономика!$N$1:$N$1000,"Победитель",Экономика!$M$1:$M$1000,"100%")</f>
        <v>0</v>
      </c>
      <c r="AP37" s="2">
        <f>_xlfn.COUNTIFS(Экономика!$H$1:$H$1000,7,Экономика!$N$1:$N$1000,"Призер",Экономика!$J$1:$J$1000,"имеются")</f>
        <v>0</v>
      </c>
      <c r="AQ37" s="2">
        <f>_xlfn.COUNTIFS(Экономика!$H$1:$H$1000,7,Экономика!$N$1:$N$1000,"Победитель",Экономика!$J$1:$J$1000,"имеются")</f>
        <v>0</v>
      </c>
      <c r="AR37" s="2">
        <f>COUNTIF(Экономика!$H$1:$H$1000,8)</f>
        <v>0</v>
      </c>
      <c r="AS37" s="161">
        <f>_xlfn.COUNTIFS(Экономика!$H$1:$H$1000,8,Экономика!$G$1:$G$1000,"&lt;8")</f>
        <v>0</v>
      </c>
      <c r="AT37" s="161">
        <f>_xlfn.COUNTIFS(Экономика!$H$1:$H$1000,8,Экономика!$J$1:$J$1000,"имеются")</f>
        <v>0</v>
      </c>
      <c r="AU37" s="2">
        <f>_xlfn.COUNTIFS(Экономика!$H$1:$H$1000,8,Экономика!$N$1:$N$1000,"Призер")</f>
        <v>0</v>
      </c>
      <c r="AV37" s="2">
        <f>_xlfn.COUNTIFS(Экономика!$H$1:$H$1000,8,Экономика!$N$1:$N$1000,"Победитель")</f>
        <v>0</v>
      </c>
      <c r="AW37" s="2">
        <f>_xlfn.COUNTIFS(Экономика!$H$1:$H$1000,8,Экономика!$N$1:$N$1000,"Победитель",Экономика!$M$1:$M$1000,"100%")</f>
        <v>0</v>
      </c>
      <c r="AX37" s="2">
        <f>_xlfn.COUNTIFS(Экономика!$H$1:$H$1000,8,Экономика!$N$1:$N$1000,"Призер",Экономика!$J$1:$J$1000,"имеются")</f>
        <v>0</v>
      </c>
      <c r="AY37" s="2">
        <f>_xlfn.COUNTIFS(Экономика!$H$1:$H$1000,8,Экономика!$N$1:$N$1000,"Победитель",Экономика!$J$1:$J$1000,"имеются")</f>
        <v>0</v>
      </c>
      <c r="AZ37" s="2">
        <f>COUNTIF(Экономика!$H$1:$H$1000,9)</f>
        <v>0</v>
      </c>
      <c r="BA37" s="161">
        <f>_xlfn.COUNTIFS(Экономика!$H$1:$H$1000,9,Экономика!$G$1:$G$1000,"&lt;9")</f>
        <v>0</v>
      </c>
      <c r="BB37" s="161">
        <f>_xlfn.COUNTIFS(Экономика!$H$1:$H$1000,9,Экономика!$J$1:$J$1000,"имеются")</f>
        <v>0</v>
      </c>
      <c r="BC37" s="2">
        <f>_xlfn.COUNTIFS(Экономика!$H$1:$H$1000,9,Экономика!$N$1:$N$1000,"Призер")</f>
        <v>0</v>
      </c>
      <c r="BD37" s="2">
        <f>_xlfn.COUNTIFS(Экономика!$H$1:$H$1000,9,Экономика!$N$1:$N$1000,"Победитель")</f>
        <v>0</v>
      </c>
      <c r="BE37" s="2">
        <f>_xlfn.COUNTIFS(Экономика!$H$1:$H$1000,9,Экономика!$N$1:$N$1000,"Победитель",Экономика!$M$1:$M$1000,"100%")</f>
        <v>0</v>
      </c>
      <c r="BF37" s="2">
        <f>_xlfn.COUNTIFS(Экономика!$H$1:$H$1000,9,Экономика!$N$1:$N$1000,"Призер",Экономика!$J$1:$J$1000,"имеются")</f>
        <v>0</v>
      </c>
      <c r="BG37" s="2">
        <f>_xlfn.COUNTIFS(Экономика!$H$1:$H$1000,9,Экономика!$N$1:$N$1000,"Победитель",Экономика!$J$1:$J$1000,"имеются")</f>
        <v>0</v>
      </c>
      <c r="BH37" s="2">
        <f>COUNTIF(Экономика!$H$1:$H$1000,10)</f>
        <v>5</v>
      </c>
      <c r="BI37" s="161">
        <f>_xlfn.COUNTIFS(Экономика!$H$1:$H$1000,10,Экономика!$G$1:$G$1000,"&lt;10")</f>
        <v>0</v>
      </c>
      <c r="BJ37" s="161">
        <f>_xlfn.COUNTIFS(Экономика!$H$1:$H$1000,10,Экономика!$J$1:$J$1000,"имеются")</f>
        <v>0</v>
      </c>
      <c r="BK37" s="2">
        <f>_xlfn.COUNTIFS(Экономика!$H$1:$H$1000,10,Экономика!$N$1:$N$1000,"Призер")</f>
        <v>0</v>
      </c>
      <c r="BL37" s="2">
        <f>_xlfn.COUNTIFS(Экономика!$H$1:$H$1000,10,Экономика!$N$1:$N$1000,"Победитель")</f>
        <v>0</v>
      </c>
      <c r="BM37" s="2">
        <f>_xlfn.COUNTIFS(Экономика!$H$1:$H$1000,10,Экономика!$N$1:$N$1000,"Победитель",Экономика!$M$1:$M$1000,"100%")</f>
        <v>0</v>
      </c>
      <c r="BN37" s="2">
        <f>_xlfn.COUNTIFS(Экономика!$H$1:$H$1000,10,Экономика!$N$1:$N$1000,"Призер",Экономика!$J$1:$J$1000,"имеются")</f>
        <v>0</v>
      </c>
      <c r="BO37" s="2">
        <f>_xlfn.COUNTIFS(Экономика!$H$1:$H$1000,10,Экономика!$N$1:$N$1000,"Победитель",Экономика!$J$1:$J$1000,"имеются")</f>
        <v>0</v>
      </c>
      <c r="BP37" s="2">
        <f>COUNTIF(Экономика!$H$1:$H$1000,11)</f>
        <v>1</v>
      </c>
      <c r="BQ37" s="161">
        <f>_xlfn.COUNTIFS(Экономика!$H$1:$H$1000,11,Экономика!$G$1:$G$1000,"&lt;11")</f>
        <v>0</v>
      </c>
      <c r="BR37" s="161">
        <f>_xlfn.COUNTIFS(Экономика!$H$1:$H$1000,11,Экономика!$J$1:$J$1000,"имеются")</f>
        <v>0</v>
      </c>
      <c r="BS37" s="2">
        <f>_xlfn.COUNTIFS(Экономика!$H$1:$H$1000,11,Экономика!$N$1:$N$1000,"Призер")</f>
        <v>0</v>
      </c>
      <c r="BT37" s="2">
        <f>_xlfn.COUNTIFS(Экономика!$H$1:$H$1000,11,Экономика!$N$1:$N$1000,"Победитель")</f>
        <v>0</v>
      </c>
      <c r="BU37" s="2">
        <f>_xlfn.COUNTIFS(Экономика!$H$1:$H$1000,11,Экономика!$N$1:$N$1000,"Победитель",Экономика!$M$1:$M$1000,"100%")</f>
        <v>0</v>
      </c>
      <c r="BV37" s="2">
        <f>_xlfn.COUNTIFS(Экономика!$H$1:$H$1000,11,Экономика!$N$1:$N$1000,"Призер",Экономика!$J$1:$J$1000,"имеются")</f>
        <v>0</v>
      </c>
      <c r="BW37" s="2">
        <f>_xlfn.COUNTIFS(Экономика!$H$1:$H$1000,11,Экономика!$N$1:$N$1000,"Победитель",Экономика!$J$1:$J$1000,"имеются")</f>
        <v>0</v>
      </c>
      <c r="BX37" s="97">
        <f t="shared" si="7"/>
        <v>0</v>
      </c>
      <c r="BY37" s="276">
        <f>IF(Экономика!$S$1="1","Нет даты рождения","")</f>
      </c>
    </row>
    <row r="38" spans="1:76" ht="12.75">
      <c r="A38" s="347" t="s">
        <v>47</v>
      </c>
      <c r="B38" s="347"/>
      <c r="C38" s="347"/>
      <c r="D38" s="98">
        <f aca="true" t="shared" si="15" ref="D38:BU38">SUM(D14:D37)</f>
        <v>328</v>
      </c>
      <c r="E38" s="98">
        <f t="shared" si="15"/>
        <v>0</v>
      </c>
      <c r="F38" s="98">
        <f t="shared" si="15"/>
        <v>0</v>
      </c>
      <c r="G38" s="98">
        <f t="shared" si="15"/>
        <v>34</v>
      </c>
      <c r="H38" s="98">
        <f t="shared" si="15"/>
        <v>16</v>
      </c>
      <c r="I38" s="98">
        <f t="shared" si="15"/>
        <v>1</v>
      </c>
      <c r="J38" s="98">
        <f t="shared" si="15"/>
        <v>0</v>
      </c>
      <c r="K38" s="98">
        <f t="shared" si="15"/>
        <v>0</v>
      </c>
      <c r="L38" s="98">
        <f t="shared" si="15"/>
        <v>66</v>
      </c>
      <c r="M38" s="98">
        <f t="shared" si="15"/>
        <v>0</v>
      </c>
      <c r="N38" s="98">
        <f t="shared" si="15"/>
        <v>0</v>
      </c>
      <c r="O38" s="98">
        <f t="shared" si="15"/>
        <v>7</v>
      </c>
      <c r="P38" s="98">
        <f t="shared" si="15"/>
        <v>4</v>
      </c>
      <c r="Q38" s="98">
        <f t="shared" si="15"/>
        <v>3</v>
      </c>
      <c r="R38" s="98">
        <f t="shared" si="15"/>
        <v>0</v>
      </c>
      <c r="S38" s="98">
        <f t="shared" si="15"/>
        <v>0</v>
      </c>
      <c r="T38" s="98">
        <f t="shared" si="15"/>
        <v>35</v>
      </c>
      <c r="U38" s="98">
        <f t="shared" si="15"/>
        <v>0</v>
      </c>
      <c r="V38" s="98">
        <f t="shared" si="15"/>
        <v>0</v>
      </c>
      <c r="W38" s="98">
        <f t="shared" si="15"/>
        <v>3</v>
      </c>
      <c r="X38" s="98">
        <f t="shared" si="15"/>
        <v>2</v>
      </c>
      <c r="Y38" s="98">
        <f t="shared" si="15"/>
        <v>1</v>
      </c>
      <c r="Z38" s="98">
        <f t="shared" si="15"/>
        <v>0</v>
      </c>
      <c r="AA38" s="98">
        <f t="shared" si="15"/>
        <v>0</v>
      </c>
      <c r="AB38" s="98">
        <f t="shared" si="15"/>
        <v>13</v>
      </c>
      <c r="AC38" s="98">
        <f t="shared" si="15"/>
        <v>0</v>
      </c>
      <c r="AD38" s="98">
        <f t="shared" si="15"/>
        <v>0</v>
      </c>
      <c r="AE38" s="98">
        <f t="shared" si="15"/>
        <v>3</v>
      </c>
      <c r="AF38" s="98">
        <f t="shared" si="15"/>
        <v>1</v>
      </c>
      <c r="AG38" s="98">
        <f t="shared" si="15"/>
        <v>0</v>
      </c>
      <c r="AH38" s="98">
        <f t="shared" si="15"/>
        <v>0</v>
      </c>
      <c r="AI38" s="98">
        <f t="shared" si="15"/>
        <v>0</v>
      </c>
      <c r="AJ38" s="98">
        <f t="shared" si="15"/>
        <v>60</v>
      </c>
      <c r="AK38" s="98">
        <f t="shared" si="15"/>
        <v>0</v>
      </c>
      <c r="AL38" s="98">
        <f t="shared" si="15"/>
        <v>0</v>
      </c>
      <c r="AM38" s="98">
        <f t="shared" si="15"/>
        <v>8</v>
      </c>
      <c r="AN38" s="98">
        <f t="shared" si="15"/>
        <v>5</v>
      </c>
      <c r="AO38" s="98">
        <f t="shared" si="15"/>
        <v>0</v>
      </c>
      <c r="AP38" s="98">
        <f t="shared" si="15"/>
        <v>0</v>
      </c>
      <c r="AQ38" s="98">
        <f t="shared" si="15"/>
        <v>0</v>
      </c>
      <c r="AR38" s="98">
        <f t="shared" si="15"/>
        <v>28</v>
      </c>
      <c r="AS38" s="98">
        <f t="shared" si="15"/>
        <v>0</v>
      </c>
      <c r="AT38" s="98">
        <f t="shared" si="15"/>
        <v>0</v>
      </c>
      <c r="AU38" s="98">
        <f t="shared" si="15"/>
        <v>1</v>
      </c>
      <c r="AV38" s="98">
        <f t="shared" si="15"/>
        <v>0</v>
      </c>
      <c r="AW38" s="98">
        <f t="shared" si="15"/>
        <v>0</v>
      </c>
      <c r="AX38" s="98">
        <f t="shared" si="15"/>
        <v>0</v>
      </c>
      <c r="AY38" s="98">
        <f t="shared" si="15"/>
        <v>0</v>
      </c>
      <c r="AZ38" s="98">
        <f t="shared" si="15"/>
        <v>45</v>
      </c>
      <c r="BA38" s="98">
        <f t="shared" si="15"/>
        <v>0</v>
      </c>
      <c r="BB38" s="98">
        <f t="shared" si="15"/>
        <v>0</v>
      </c>
      <c r="BC38" s="98">
        <f t="shared" si="15"/>
        <v>5</v>
      </c>
      <c r="BD38" s="98">
        <f t="shared" si="15"/>
        <v>2</v>
      </c>
      <c r="BE38" s="98">
        <f t="shared" si="15"/>
        <v>0</v>
      </c>
      <c r="BF38" s="98">
        <f t="shared" si="15"/>
        <v>0</v>
      </c>
      <c r="BG38" s="98">
        <f t="shared" si="15"/>
        <v>0</v>
      </c>
      <c r="BH38" s="98">
        <f t="shared" si="15"/>
        <v>54</v>
      </c>
      <c r="BI38" s="98">
        <f t="shared" si="15"/>
        <v>0</v>
      </c>
      <c r="BJ38" s="98">
        <f t="shared" si="15"/>
        <v>0</v>
      </c>
      <c r="BK38" s="98">
        <f t="shared" si="15"/>
        <v>3</v>
      </c>
      <c r="BL38" s="98">
        <f t="shared" si="15"/>
        <v>1</v>
      </c>
      <c r="BM38" s="98">
        <f t="shared" si="15"/>
        <v>0</v>
      </c>
      <c r="BN38" s="98">
        <f t="shared" si="15"/>
        <v>0</v>
      </c>
      <c r="BO38" s="98">
        <f t="shared" si="15"/>
        <v>0</v>
      </c>
      <c r="BP38" s="98">
        <f t="shared" si="15"/>
        <v>27</v>
      </c>
      <c r="BQ38" s="98">
        <f t="shared" si="15"/>
        <v>0</v>
      </c>
      <c r="BR38" s="98">
        <f t="shared" si="15"/>
        <v>0</v>
      </c>
      <c r="BS38" s="98">
        <f t="shared" si="15"/>
        <v>4</v>
      </c>
      <c r="BT38" s="98">
        <f t="shared" si="15"/>
        <v>1</v>
      </c>
      <c r="BU38" s="98">
        <f t="shared" si="15"/>
        <v>0</v>
      </c>
      <c r="BV38" s="98">
        <f>SUM(BV14:BV37)</f>
        <v>0</v>
      </c>
      <c r="BW38" s="98">
        <f>SUM(BW14:BW37)</f>
        <v>0</v>
      </c>
      <c r="BX38" s="32"/>
    </row>
    <row r="39" ht="12.75">
      <c r="G39" s="34"/>
    </row>
    <row r="41" spans="28:76" ht="12.75">
      <c r="AB41" s="155"/>
      <c r="AC41" s="155"/>
      <c r="AD41" s="155"/>
      <c r="AE41" s="155"/>
      <c r="AF41" s="345"/>
      <c r="AG41" s="345"/>
      <c r="AH41" s="193"/>
      <c r="AI41" s="193"/>
      <c r="AJ41" s="193"/>
      <c r="AK41" s="155"/>
      <c r="AL41" s="155"/>
      <c r="AM41" s="155"/>
      <c r="AN41" s="155"/>
      <c r="AO41" s="155"/>
      <c r="AP41" s="155"/>
      <c r="AQ41" s="155"/>
      <c r="AR41" s="193"/>
      <c r="AS41" s="193"/>
      <c r="AT41" s="193"/>
      <c r="AU41" s="155"/>
      <c r="AV41" s="155"/>
      <c r="AW41" s="155"/>
      <c r="AX41" s="155"/>
      <c r="AY41" s="155"/>
      <c r="AZ41" s="345"/>
      <c r="BA41" s="345"/>
      <c r="BB41" s="193"/>
      <c r="BC41" s="193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</row>
    <row r="42" spans="3:76" ht="12.75">
      <c r="C42" s="354">
        <f ca="1">TODAY()</f>
        <v>44127</v>
      </c>
      <c r="D42" s="354"/>
      <c r="E42" s="146"/>
      <c r="F42" s="146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</row>
    <row r="43" spans="28:76" ht="12.75" customHeight="1">
      <c r="AB43" s="155"/>
      <c r="AC43" s="155"/>
      <c r="AD43" s="155"/>
      <c r="AE43" s="155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5"/>
      <c r="AV43" s="155"/>
      <c r="AW43" s="155"/>
      <c r="AX43" s="155"/>
      <c r="AY43" s="155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</row>
    <row r="44" spans="2:76" ht="12.75" customHeight="1">
      <c r="B44" s="154"/>
      <c r="C44" s="363" t="s">
        <v>48</v>
      </c>
      <c r="D44" s="363"/>
      <c r="E44" s="363"/>
      <c r="F44" s="363"/>
      <c r="G44" s="363"/>
      <c r="H44" s="363"/>
      <c r="AB44" s="365"/>
      <c r="AC44" s="365"/>
      <c r="AD44" s="365"/>
      <c r="AE44" s="365"/>
      <c r="AF44" s="365"/>
      <c r="AG44" s="365"/>
      <c r="AH44" s="194"/>
      <c r="AI44" s="194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5"/>
      <c r="AV44" s="195"/>
      <c r="AW44" s="195"/>
      <c r="AX44" s="195"/>
      <c r="AY44" s="195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</row>
    <row r="45" spans="2:76" ht="12.75">
      <c r="B45" s="154"/>
      <c r="C45" s="363"/>
      <c r="D45" s="363"/>
      <c r="E45" s="363"/>
      <c r="F45" s="363"/>
      <c r="G45" s="363"/>
      <c r="H45" s="363"/>
      <c r="I45" s="35"/>
      <c r="J45" s="35"/>
      <c r="K45" s="35"/>
      <c r="L45" s="35"/>
      <c r="M45" s="35"/>
      <c r="N45" s="329" t="s">
        <v>511</v>
      </c>
      <c r="O45" s="329"/>
      <c r="P45" s="329"/>
      <c r="Q45" s="329"/>
      <c r="R45" s="35"/>
      <c r="S45" s="35"/>
      <c r="T45" s="355"/>
      <c r="U45" s="355"/>
      <c r="V45" s="355"/>
      <c r="W45" s="355"/>
      <c r="AB45" s="365"/>
      <c r="AC45" s="365"/>
      <c r="AD45" s="365"/>
      <c r="AE45" s="365"/>
      <c r="AF45" s="365"/>
      <c r="AG45" s="365"/>
      <c r="AH45" s="194"/>
      <c r="AI45" s="194"/>
      <c r="AJ45" s="195"/>
      <c r="AK45" s="195"/>
      <c r="AL45" s="195"/>
      <c r="AM45" s="155"/>
      <c r="AN45" s="355"/>
      <c r="AO45" s="355"/>
      <c r="AP45" s="355"/>
      <c r="AQ45" s="355"/>
      <c r="AR45" s="3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96"/>
      <c r="BD45" s="196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</row>
    <row r="46" spans="28:76" ht="12.75"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</row>
    <row r="47" spans="28:76" ht="12.75"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</row>
  </sheetData>
  <sheetProtection password="DE6B" sheet="1" formatCells="0" formatColumns="0" formatRows="0" insertHyperlinks="0" sort="0" autoFilter="0" pivotTables="0"/>
  <mergeCells count="65">
    <mergeCell ref="Z8:AA10"/>
    <mergeCell ref="AH8:AI10"/>
    <mergeCell ref="AP8:AQ10"/>
    <mergeCell ref="AX8:AY10"/>
    <mergeCell ref="BF8:BG10"/>
    <mergeCell ref="BN8:BO10"/>
    <mergeCell ref="BH9:BL9"/>
    <mergeCell ref="BH10:BL10"/>
    <mergeCell ref="BH8:BM8"/>
    <mergeCell ref="BP8:BU8"/>
    <mergeCell ref="BP9:BT9"/>
    <mergeCell ref="AJ9:AN9"/>
    <mergeCell ref="AR8:AW8"/>
    <mergeCell ref="AR9:AV9"/>
    <mergeCell ref="BP10:BT10"/>
    <mergeCell ref="AC2:AO2"/>
    <mergeCell ref="C44:H45"/>
    <mergeCell ref="BA2:BM2"/>
    <mergeCell ref="AZ4:BP4"/>
    <mergeCell ref="AF41:AG41"/>
    <mergeCell ref="AZ43:BL44"/>
    <mergeCell ref="AB44:AG45"/>
    <mergeCell ref="AN45:AR45"/>
    <mergeCell ref="AZ8:BE8"/>
    <mergeCell ref="L9:P9"/>
    <mergeCell ref="BX8:BX12"/>
    <mergeCell ref="T9:X9"/>
    <mergeCell ref="T10:X10"/>
    <mergeCell ref="AB9:AF9"/>
    <mergeCell ref="AB10:AF10"/>
    <mergeCell ref="AR10:AV10"/>
    <mergeCell ref="AB11:AF11"/>
    <mergeCell ref="AJ11:AN11"/>
    <mergeCell ref="BV8:BW10"/>
    <mergeCell ref="BP11:BT11"/>
    <mergeCell ref="C42:D42"/>
    <mergeCell ref="T45:W45"/>
    <mergeCell ref="L10:P10"/>
    <mergeCell ref="H9:I9"/>
    <mergeCell ref="W1:X1"/>
    <mergeCell ref="H10:I10"/>
    <mergeCell ref="C9:G9"/>
    <mergeCell ref="C10:G10"/>
    <mergeCell ref="T8:Y8"/>
    <mergeCell ref="C4:M4"/>
    <mergeCell ref="AZ41:BA41"/>
    <mergeCell ref="C2:M2"/>
    <mergeCell ref="A38:C38"/>
    <mergeCell ref="AZ9:BD9"/>
    <mergeCell ref="L8:Q8"/>
    <mergeCell ref="AJ10:AN10"/>
    <mergeCell ref="AZ10:BD10"/>
    <mergeCell ref="AB4:AR4"/>
    <mergeCell ref="AB8:AG8"/>
    <mergeCell ref="AJ8:AO8"/>
    <mergeCell ref="N45:Q45"/>
    <mergeCell ref="AR11:AV11"/>
    <mergeCell ref="AZ11:BD11"/>
    <mergeCell ref="BH11:BL11"/>
    <mergeCell ref="C8:K8"/>
    <mergeCell ref="R8:S10"/>
    <mergeCell ref="C11:G11"/>
    <mergeCell ref="L11:P11"/>
    <mergeCell ref="H11:I11"/>
    <mergeCell ref="T11:X11"/>
  </mergeCells>
  <conditionalFormatting sqref="BX14:BX37">
    <cfRule type="cellIs" priority="9" dxfId="32" operator="greaterThan" stopIfTrue="1">
      <formula>0.3</formula>
    </cfRule>
  </conditionalFormatting>
  <conditionalFormatting sqref="BU14:BW37">
    <cfRule type="cellIs" priority="8" dxfId="33" operator="equal" stopIfTrue="1">
      <formula>0</formula>
    </cfRule>
  </conditionalFormatting>
  <conditionalFormatting sqref="BQ14:BR37">
    <cfRule type="cellIs" priority="6" dxfId="33" operator="equal" stopIfTrue="1">
      <formula>0</formula>
    </cfRule>
  </conditionalFormatting>
  <conditionalFormatting sqref="BI14:BJ37">
    <cfRule type="cellIs" priority="4" dxfId="33" operator="equal" stopIfTrue="1">
      <formula>0</formula>
    </cfRule>
  </conditionalFormatting>
  <conditionalFormatting sqref="BM14:BO37">
    <cfRule type="cellIs" priority="3" dxfId="33" operator="equal" stopIfTrue="1">
      <formula>0</formula>
    </cfRule>
  </conditionalFormatting>
  <conditionalFormatting sqref="Q22:S22 Q26:S26 M22:N22 M26:N26 Y14:AA37 AG14:AI37 AO14:AQ37 AW14:AY37 BE14:BG37 U14:V37 AC14:AD37 AK14:AL37 AS14:AT37 BA14:BB37">
    <cfRule type="cellIs" priority="2" dxfId="33" operator="equal" stopIfTrue="1">
      <formula>0</formula>
    </cfRule>
  </conditionalFormatting>
  <printOptions/>
  <pageMargins left="0.7086614173228347" right="0.3937007874015748" top="0.7480314960629921" bottom="0.3937007874015748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I36" sqref="I36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5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100</v>
      </c>
      <c r="H1" s="15" t="s">
        <v>101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18">
        <f>IF(COUNTIF(Q1:Q1000,"Введите дату рождения")&lt;&gt;0,"1","")</f>
      </c>
    </row>
    <row r="2" spans="1:18" ht="12.75">
      <c r="A2" s="42">
        <v>1</v>
      </c>
      <c r="B2" s="39" t="s">
        <v>559</v>
      </c>
      <c r="C2" s="39" t="s">
        <v>560</v>
      </c>
      <c r="D2" s="39" t="s">
        <v>470</v>
      </c>
      <c r="E2" s="42" t="s">
        <v>99</v>
      </c>
      <c r="F2" s="39" t="s">
        <v>153</v>
      </c>
      <c r="G2" s="176">
        <v>5</v>
      </c>
      <c r="H2" s="269">
        <f>G2</f>
        <v>5</v>
      </c>
      <c r="I2" s="39"/>
      <c r="J2" s="39" t="s">
        <v>126</v>
      </c>
      <c r="K2" s="165">
        <v>18</v>
      </c>
      <c r="L2" s="39">
        <v>80</v>
      </c>
      <c r="M2" s="4">
        <f aca="true" t="shared" si="0" ref="M2:M15">K2/L2</f>
        <v>0.225</v>
      </c>
      <c r="N2" s="39" t="s">
        <v>58</v>
      </c>
      <c r="O2" s="39" t="s">
        <v>76</v>
      </c>
      <c r="P2" s="39" t="s">
        <v>13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>
        <v>2</v>
      </c>
      <c r="B3" s="39" t="s">
        <v>561</v>
      </c>
      <c r="C3" s="39" t="s">
        <v>562</v>
      </c>
      <c r="D3" s="39" t="s">
        <v>374</v>
      </c>
      <c r="E3" s="42" t="s">
        <v>99</v>
      </c>
      <c r="F3" s="39" t="s">
        <v>153</v>
      </c>
      <c r="G3" s="176">
        <v>5</v>
      </c>
      <c r="H3" s="269">
        <f aca="true" t="shared" si="1" ref="H3:H33">G3</f>
        <v>5</v>
      </c>
      <c r="I3" s="39"/>
      <c r="J3" s="39" t="s">
        <v>126</v>
      </c>
      <c r="K3" s="165">
        <v>13</v>
      </c>
      <c r="L3" s="39">
        <v>80</v>
      </c>
      <c r="M3" s="4">
        <f t="shared" si="0"/>
        <v>0.1625</v>
      </c>
      <c r="N3" s="39" t="s">
        <v>58</v>
      </c>
      <c r="O3" s="39" t="s">
        <v>76</v>
      </c>
      <c r="P3" s="39" t="s">
        <v>13</v>
      </c>
      <c r="Q3" s="134">
        <f aca="true" t="shared" si="2" ref="Q3:Q33">IF(G3=H3,"","Введите дату рождения")</f>
      </c>
      <c r="R3" s="271">
        <f>Отчет!$Q$4</f>
        <v>937015</v>
      </c>
    </row>
    <row r="4" spans="1:18" ht="12.75">
      <c r="A4" s="42">
        <v>3</v>
      </c>
      <c r="B4" s="21" t="s">
        <v>563</v>
      </c>
      <c r="C4" s="39" t="s">
        <v>564</v>
      </c>
      <c r="D4" s="39" t="s">
        <v>467</v>
      </c>
      <c r="E4" s="42" t="s">
        <v>98</v>
      </c>
      <c r="F4" s="39" t="s">
        <v>153</v>
      </c>
      <c r="G4" s="176">
        <v>5</v>
      </c>
      <c r="H4" s="269">
        <f t="shared" si="1"/>
        <v>5</v>
      </c>
      <c r="I4" s="39"/>
      <c r="J4" s="39" t="s">
        <v>126</v>
      </c>
      <c r="K4" s="165">
        <v>2</v>
      </c>
      <c r="L4" s="39">
        <v>80</v>
      </c>
      <c r="M4" s="4">
        <f t="shared" si="0"/>
        <v>0.025</v>
      </c>
      <c r="N4" s="39" t="s">
        <v>58</v>
      </c>
      <c r="O4" s="39" t="s">
        <v>76</v>
      </c>
      <c r="P4" s="39" t="s">
        <v>13</v>
      </c>
      <c r="Q4" s="134">
        <f t="shared" si="2"/>
      </c>
      <c r="R4" s="271">
        <f>Отчет!$Q$4</f>
        <v>937015</v>
      </c>
    </row>
    <row r="5" spans="1:18" ht="12.75">
      <c r="A5" s="42">
        <v>4</v>
      </c>
      <c r="B5" s="21" t="s">
        <v>565</v>
      </c>
      <c r="C5" s="39" t="s">
        <v>489</v>
      </c>
      <c r="D5" s="39" t="s">
        <v>467</v>
      </c>
      <c r="E5" s="42" t="s">
        <v>98</v>
      </c>
      <c r="F5" s="39" t="s">
        <v>153</v>
      </c>
      <c r="G5" s="176">
        <v>5</v>
      </c>
      <c r="H5" s="269">
        <f t="shared" si="1"/>
        <v>5</v>
      </c>
      <c r="I5" s="39"/>
      <c r="J5" s="39" t="s">
        <v>126</v>
      </c>
      <c r="K5" s="165">
        <v>1</v>
      </c>
      <c r="L5" s="39">
        <v>80</v>
      </c>
      <c r="M5" s="4">
        <f t="shared" si="0"/>
        <v>0.0125</v>
      </c>
      <c r="N5" s="39" t="s">
        <v>58</v>
      </c>
      <c r="O5" s="39" t="s">
        <v>76</v>
      </c>
      <c r="P5" s="39" t="s">
        <v>13</v>
      </c>
      <c r="Q5" s="134">
        <f t="shared" si="2"/>
      </c>
      <c r="R5" s="271">
        <f>Отчет!$Q$4</f>
        <v>937015</v>
      </c>
    </row>
    <row r="6" spans="1:18" ht="12.75">
      <c r="A6" s="42">
        <v>5</v>
      </c>
      <c r="B6" s="21" t="s">
        <v>566</v>
      </c>
      <c r="C6" s="39" t="s">
        <v>489</v>
      </c>
      <c r="D6" s="39" t="s">
        <v>448</v>
      </c>
      <c r="E6" s="42" t="s">
        <v>98</v>
      </c>
      <c r="F6" s="39" t="s">
        <v>153</v>
      </c>
      <c r="G6" s="176">
        <v>7</v>
      </c>
      <c r="H6" s="269">
        <f t="shared" si="1"/>
        <v>7</v>
      </c>
      <c r="I6" s="39"/>
      <c r="J6" s="39" t="s">
        <v>126</v>
      </c>
      <c r="K6" s="165">
        <v>32</v>
      </c>
      <c r="L6" s="39">
        <v>65</v>
      </c>
      <c r="M6" s="4">
        <f t="shared" si="0"/>
        <v>0.49230769230769234</v>
      </c>
      <c r="N6" s="39" t="s">
        <v>50</v>
      </c>
      <c r="O6" s="39" t="s">
        <v>76</v>
      </c>
      <c r="P6" s="39" t="s">
        <v>13</v>
      </c>
      <c r="Q6" s="134">
        <f t="shared" si="2"/>
      </c>
      <c r="R6" s="271">
        <f>Отчет!$Q$4</f>
        <v>937015</v>
      </c>
    </row>
    <row r="7" spans="1:18" ht="12.75">
      <c r="A7" s="42">
        <v>6</v>
      </c>
      <c r="B7" s="21" t="s">
        <v>567</v>
      </c>
      <c r="C7" s="39" t="s">
        <v>568</v>
      </c>
      <c r="D7" s="39" t="s">
        <v>474</v>
      </c>
      <c r="E7" s="42" t="s">
        <v>99</v>
      </c>
      <c r="F7" s="39" t="s">
        <v>153</v>
      </c>
      <c r="G7" s="176">
        <v>7</v>
      </c>
      <c r="H7" s="269">
        <f t="shared" si="1"/>
        <v>7</v>
      </c>
      <c r="I7" s="39"/>
      <c r="J7" s="39" t="s">
        <v>126</v>
      </c>
      <c r="K7" s="165">
        <v>25</v>
      </c>
      <c r="L7" s="39">
        <v>65</v>
      </c>
      <c r="M7" s="4">
        <f t="shared" si="0"/>
        <v>0.38461538461538464</v>
      </c>
      <c r="N7" s="39" t="s">
        <v>58</v>
      </c>
      <c r="O7" s="39" t="s">
        <v>76</v>
      </c>
      <c r="P7" s="39" t="s">
        <v>13</v>
      </c>
      <c r="Q7" s="134">
        <f t="shared" si="2"/>
      </c>
      <c r="R7" s="271">
        <f>Отчет!$Q$4</f>
        <v>937015</v>
      </c>
    </row>
    <row r="8" spans="1:18" ht="12.75">
      <c r="A8" s="42">
        <v>7</v>
      </c>
      <c r="B8" s="21" t="s">
        <v>494</v>
      </c>
      <c r="C8" s="39" t="s">
        <v>495</v>
      </c>
      <c r="D8" s="39" t="s">
        <v>437</v>
      </c>
      <c r="E8" s="42" t="s">
        <v>98</v>
      </c>
      <c r="F8" s="39" t="s">
        <v>153</v>
      </c>
      <c r="G8" s="176">
        <v>7</v>
      </c>
      <c r="H8" s="269">
        <f t="shared" si="1"/>
        <v>7</v>
      </c>
      <c r="I8" s="39"/>
      <c r="J8" s="39" t="s">
        <v>126</v>
      </c>
      <c r="K8" s="165">
        <v>18</v>
      </c>
      <c r="L8" s="39">
        <v>65</v>
      </c>
      <c r="M8" s="4">
        <f t="shared" si="0"/>
        <v>0.27692307692307694</v>
      </c>
      <c r="N8" s="39" t="s">
        <v>58</v>
      </c>
      <c r="O8" s="39" t="s">
        <v>76</v>
      </c>
      <c r="P8" s="39" t="s">
        <v>13</v>
      </c>
      <c r="Q8" s="134">
        <f t="shared" si="2"/>
      </c>
      <c r="R8" s="271">
        <f>Отчет!$Q$4</f>
        <v>937015</v>
      </c>
    </row>
    <row r="9" spans="1:18" ht="12.75">
      <c r="A9" s="42">
        <v>8</v>
      </c>
      <c r="B9" s="21" t="s">
        <v>569</v>
      </c>
      <c r="C9" s="39" t="s">
        <v>491</v>
      </c>
      <c r="D9" s="39" t="s">
        <v>386</v>
      </c>
      <c r="E9" s="42" t="s">
        <v>99</v>
      </c>
      <c r="F9" s="39" t="s">
        <v>153</v>
      </c>
      <c r="G9" s="176">
        <v>7</v>
      </c>
      <c r="H9" s="269">
        <f t="shared" si="1"/>
        <v>7</v>
      </c>
      <c r="I9" s="39"/>
      <c r="J9" s="39" t="s">
        <v>126</v>
      </c>
      <c r="K9" s="165">
        <v>18</v>
      </c>
      <c r="L9" s="39">
        <v>65</v>
      </c>
      <c r="M9" s="4">
        <f t="shared" si="0"/>
        <v>0.27692307692307694</v>
      </c>
      <c r="N9" s="39" t="s">
        <v>58</v>
      </c>
      <c r="O9" s="39" t="s">
        <v>76</v>
      </c>
      <c r="P9" s="39" t="s">
        <v>13</v>
      </c>
      <c r="Q9" s="134">
        <f t="shared" si="2"/>
      </c>
      <c r="R9" s="271">
        <f>Отчет!$Q$4</f>
        <v>937015</v>
      </c>
    </row>
    <row r="10" spans="1:18" ht="12.75">
      <c r="A10" s="42">
        <v>9</v>
      </c>
      <c r="B10" s="21" t="s">
        <v>570</v>
      </c>
      <c r="C10" s="39" t="s">
        <v>388</v>
      </c>
      <c r="D10" s="39" t="s">
        <v>571</v>
      </c>
      <c r="E10" s="42" t="s">
        <v>99</v>
      </c>
      <c r="F10" s="39" t="s">
        <v>153</v>
      </c>
      <c r="G10" s="176">
        <v>7</v>
      </c>
      <c r="H10" s="269">
        <f t="shared" si="1"/>
        <v>7</v>
      </c>
      <c r="I10" s="39"/>
      <c r="J10" s="39" t="s">
        <v>126</v>
      </c>
      <c r="K10" s="165">
        <v>16</v>
      </c>
      <c r="L10" s="39">
        <v>65</v>
      </c>
      <c r="M10" s="4">
        <f t="shared" si="0"/>
        <v>0.24615384615384617</v>
      </c>
      <c r="N10" s="39" t="s">
        <v>58</v>
      </c>
      <c r="O10" s="39" t="s">
        <v>76</v>
      </c>
      <c r="P10" s="39" t="s">
        <v>13</v>
      </c>
      <c r="Q10" s="134">
        <f t="shared" si="2"/>
      </c>
      <c r="R10" s="271">
        <f>Отчет!$Q$4</f>
        <v>937015</v>
      </c>
    </row>
    <row r="11" spans="1:18" ht="12.75">
      <c r="A11" s="42">
        <v>10</v>
      </c>
      <c r="B11" s="21" t="s">
        <v>572</v>
      </c>
      <c r="C11" s="39" t="s">
        <v>568</v>
      </c>
      <c r="D11" s="39" t="s">
        <v>573</v>
      </c>
      <c r="E11" s="42" t="s">
        <v>99</v>
      </c>
      <c r="F11" s="39" t="s">
        <v>153</v>
      </c>
      <c r="G11" s="176">
        <v>7</v>
      </c>
      <c r="H11" s="269">
        <f t="shared" si="1"/>
        <v>7</v>
      </c>
      <c r="I11" s="39"/>
      <c r="J11" s="39" t="s">
        <v>126</v>
      </c>
      <c r="K11" s="165">
        <v>16</v>
      </c>
      <c r="L11" s="39">
        <v>65</v>
      </c>
      <c r="M11" s="4">
        <f t="shared" si="0"/>
        <v>0.24615384615384617</v>
      </c>
      <c r="N11" s="39" t="s">
        <v>58</v>
      </c>
      <c r="O11" s="39" t="s">
        <v>76</v>
      </c>
      <c r="P11" s="39" t="s">
        <v>13</v>
      </c>
      <c r="Q11" s="134">
        <f t="shared" si="2"/>
      </c>
      <c r="R11" s="271">
        <f>Отчет!$Q$4</f>
        <v>937015</v>
      </c>
    </row>
    <row r="12" spans="1:18" ht="12.75">
      <c r="A12" s="42">
        <v>11</v>
      </c>
      <c r="B12" s="21" t="s">
        <v>574</v>
      </c>
      <c r="C12" s="39" t="s">
        <v>388</v>
      </c>
      <c r="D12" s="39" t="s">
        <v>573</v>
      </c>
      <c r="E12" s="42" t="s">
        <v>99</v>
      </c>
      <c r="F12" s="39" t="s">
        <v>153</v>
      </c>
      <c r="G12" s="176">
        <v>7</v>
      </c>
      <c r="H12" s="269">
        <f t="shared" si="1"/>
        <v>7</v>
      </c>
      <c r="I12" s="39"/>
      <c r="J12" s="39" t="s">
        <v>126</v>
      </c>
      <c r="K12" s="165">
        <v>14</v>
      </c>
      <c r="L12" s="39">
        <v>65</v>
      </c>
      <c r="M12" s="4">
        <f t="shared" si="0"/>
        <v>0.2153846153846154</v>
      </c>
      <c r="N12" s="39" t="s">
        <v>58</v>
      </c>
      <c r="O12" s="39" t="s">
        <v>76</v>
      </c>
      <c r="P12" s="39" t="s">
        <v>13</v>
      </c>
      <c r="Q12" s="134">
        <f t="shared" si="2"/>
      </c>
      <c r="R12" s="271">
        <f>Отчет!$Q$4</f>
        <v>937015</v>
      </c>
    </row>
    <row r="13" spans="1:18" ht="12.75">
      <c r="A13" s="42">
        <v>12</v>
      </c>
      <c r="B13" s="21" t="s">
        <v>575</v>
      </c>
      <c r="C13" s="39" t="s">
        <v>576</v>
      </c>
      <c r="D13" s="39" t="s">
        <v>577</v>
      </c>
      <c r="E13" s="42" t="s">
        <v>98</v>
      </c>
      <c r="F13" s="39" t="s">
        <v>153</v>
      </c>
      <c r="G13" s="176">
        <v>7</v>
      </c>
      <c r="H13" s="269">
        <f t="shared" si="1"/>
        <v>7</v>
      </c>
      <c r="I13" s="39"/>
      <c r="J13" s="39" t="s">
        <v>126</v>
      </c>
      <c r="K13" s="165">
        <v>14</v>
      </c>
      <c r="L13" s="39">
        <v>65</v>
      </c>
      <c r="M13" s="4">
        <f t="shared" si="0"/>
        <v>0.2153846153846154</v>
      </c>
      <c r="N13" s="39" t="s">
        <v>58</v>
      </c>
      <c r="O13" s="39" t="s">
        <v>76</v>
      </c>
      <c r="P13" s="39" t="s">
        <v>13</v>
      </c>
      <c r="Q13" s="134">
        <f t="shared" si="2"/>
      </c>
      <c r="R13" s="271">
        <f>Отчет!$Q$4</f>
        <v>937015</v>
      </c>
    </row>
    <row r="14" spans="1:18" ht="12.75">
      <c r="A14" s="42">
        <v>13</v>
      </c>
      <c r="B14" s="21" t="s">
        <v>486</v>
      </c>
      <c r="C14" s="39" t="s">
        <v>487</v>
      </c>
      <c r="D14" s="39" t="s">
        <v>470</v>
      </c>
      <c r="E14" s="42" t="s">
        <v>99</v>
      </c>
      <c r="F14" s="39" t="s">
        <v>153</v>
      </c>
      <c r="G14" s="176">
        <v>7</v>
      </c>
      <c r="H14" s="269">
        <f t="shared" si="1"/>
        <v>7</v>
      </c>
      <c r="I14" s="39"/>
      <c r="J14" s="39" t="s">
        <v>126</v>
      </c>
      <c r="K14" s="165">
        <v>9</v>
      </c>
      <c r="L14" s="39">
        <v>65</v>
      </c>
      <c r="M14" s="4">
        <f t="shared" si="0"/>
        <v>0.13846153846153847</v>
      </c>
      <c r="N14" s="39" t="s">
        <v>58</v>
      </c>
      <c r="O14" s="39" t="s">
        <v>76</v>
      </c>
      <c r="P14" s="39" t="s">
        <v>13</v>
      </c>
      <c r="Q14" s="134">
        <f t="shared" si="2"/>
      </c>
      <c r="R14" s="271">
        <f>Отчет!$Q$4</f>
        <v>937015</v>
      </c>
    </row>
    <row r="15" spans="1:18" ht="12.75">
      <c r="A15" s="42">
        <v>14</v>
      </c>
      <c r="B15" s="21" t="s">
        <v>492</v>
      </c>
      <c r="C15" s="39" t="s">
        <v>377</v>
      </c>
      <c r="D15" s="39" t="s">
        <v>480</v>
      </c>
      <c r="E15" s="42" t="s">
        <v>99</v>
      </c>
      <c r="F15" s="39" t="s">
        <v>153</v>
      </c>
      <c r="G15" s="176">
        <v>7</v>
      </c>
      <c r="H15" s="269">
        <f t="shared" si="1"/>
        <v>7</v>
      </c>
      <c r="I15" s="39"/>
      <c r="J15" s="39" t="s">
        <v>126</v>
      </c>
      <c r="K15" s="165">
        <v>8</v>
      </c>
      <c r="L15" s="39">
        <v>65</v>
      </c>
      <c r="M15" s="4">
        <f t="shared" si="0"/>
        <v>0.12307692307692308</v>
      </c>
      <c r="N15" s="39" t="s">
        <v>58</v>
      </c>
      <c r="O15" s="39" t="s">
        <v>76</v>
      </c>
      <c r="P15" s="39" t="s">
        <v>13</v>
      </c>
      <c r="Q15" s="134">
        <f t="shared" si="2"/>
      </c>
      <c r="R15" s="271">
        <f>Отчет!$Q$4</f>
        <v>937015</v>
      </c>
    </row>
    <row r="16" spans="1:18" ht="12.75">
      <c r="A16" s="42">
        <v>15</v>
      </c>
      <c r="B16" s="21" t="s">
        <v>578</v>
      </c>
      <c r="C16" s="39" t="s">
        <v>487</v>
      </c>
      <c r="D16" s="39" t="s">
        <v>579</v>
      </c>
      <c r="E16" s="42" t="s">
        <v>99</v>
      </c>
      <c r="F16" s="39" t="s">
        <v>153</v>
      </c>
      <c r="G16" s="176">
        <v>7</v>
      </c>
      <c r="H16" s="269">
        <f t="shared" si="1"/>
        <v>7</v>
      </c>
      <c r="I16" s="39"/>
      <c r="J16" s="39" t="s">
        <v>126</v>
      </c>
      <c r="K16" s="165">
        <v>7</v>
      </c>
      <c r="L16" s="39">
        <v>65</v>
      </c>
      <c r="M16" s="4">
        <f>K16/L16</f>
        <v>0.1076923076923077</v>
      </c>
      <c r="N16" s="39" t="s">
        <v>58</v>
      </c>
      <c r="O16" s="39" t="s">
        <v>76</v>
      </c>
      <c r="P16" s="39" t="s">
        <v>13</v>
      </c>
      <c r="Q16" s="134">
        <f t="shared" si="2"/>
      </c>
      <c r="R16" s="271">
        <f>Отчет!$Q$4</f>
        <v>937015</v>
      </c>
    </row>
    <row r="17" spans="1:18" ht="12.75">
      <c r="A17" s="42">
        <v>16</v>
      </c>
      <c r="B17" s="21" t="s">
        <v>580</v>
      </c>
      <c r="C17" s="39" t="s">
        <v>581</v>
      </c>
      <c r="D17" s="39" t="s">
        <v>582</v>
      </c>
      <c r="E17" s="42" t="s">
        <v>99</v>
      </c>
      <c r="F17" s="39" t="s">
        <v>153</v>
      </c>
      <c r="G17" s="176">
        <v>7</v>
      </c>
      <c r="H17" s="269">
        <f t="shared" si="1"/>
        <v>7</v>
      </c>
      <c r="I17" s="39"/>
      <c r="J17" s="39" t="s">
        <v>126</v>
      </c>
      <c r="K17" s="165">
        <v>6</v>
      </c>
      <c r="L17" s="39">
        <v>65</v>
      </c>
      <c r="M17" s="4">
        <f>K17/L17</f>
        <v>0.09230769230769231</v>
      </c>
      <c r="N17" s="39" t="s">
        <v>58</v>
      </c>
      <c r="O17" s="39" t="s">
        <v>76</v>
      </c>
      <c r="P17" s="39" t="s">
        <v>13</v>
      </c>
      <c r="Q17" s="134">
        <f t="shared" si="2"/>
      </c>
      <c r="R17" s="271">
        <f>Отчет!$Q$4</f>
        <v>937015</v>
      </c>
    </row>
    <row r="18" spans="1:18" ht="12.75">
      <c r="A18" s="42">
        <v>17</v>
      </c>
      <c r="B18" s="21" t="s">
        <v>583</v>
      </c>
      <c r="C18" s="39" t="s">
        <v>469</v>
      </c>
      <c r="D18" s="39" t="s">
        <v>374</v>
      </c>
      <c r="E18" s="42" t="s">
        <v>99</v>
      </c>
      <c r="F18" s="39" t="s">
        <v>153</v>
      </c>
      <c r="G18" s="176">
        <v>8</v>
      </c>
      <c r="H18" s="269">
        <f t="shared" si="1"/>
        <v>8</v>
      </c>
      <c r="I18" s="39"/>
      <c r="J18" s="39" t="s">
        <v>126</v>
      </c>
      <c r="K18" s="165">
        <v>26</v>
      </c>
      <c r="L18" s="39">
        <v>65</v>
      </c>
      <c r="M18" s="4">
        <f>K18/L18</f>
        <v>0.4</v>
      </c>
      <c r="N18" s="39" t="s">
        <v>58</v>
      </c>
      <c r="O18" s="39" t="s">
        <v>76</v>
      </c>
      <c r="P18" s="39" t="s">
        <v>13</v>
      </c>
      <c r="Q18" s="134">
        <f t="shared" si="2"/>
      </c>
      <c r="R18" s="271">
        <f>Отчет!$Q$4</f>
        <v>937015</v>
      </c>
    </row>
    <row r="19" spans="1:18" ht="12.75">
      <c r="A19" s="42">
        <v>18</v>
      </c>
      <c r="B19" s="21" t="s">
        <v>584</v>
      </c>
      <c r="C19" s="39" t="s">
        <v>469</v>
      </c>
      <c r="D19" s="39" t="s">
        <v>378</v>
      </c>
      <c r="E19" s="42" t="s">
        <v>99</v>
      </c>
      <c r="F19" s="39" t="s">
        <v>153</v>
      </c>
      <c r="G19" s="176">
        <v>8</v>
      </c>
      <c r="H19" s="269">
        <f t="shared" si="1"/>
        <v>8</v>
      </c>
      <c r="I19" s="39"/>
      <c r="J19" s="39" t="s">
        <v>126</v>
      </c>
      <c r="K19" s="165">
        <v>22</v>
      </c>
      <c r="L19" s="39">
        <v>65</v>
      </c>
      <c r="M19" s="4">
        <f>K19/L19</f>
        <v>0.3384615384615385</v>
      </c>
      <c r="N19" s="39" t="s">
        <v>58</v>
      </c>
      <c r="O19" s="39" t="s">
        <v>76</v>
      </c>
      <c r="P19" s="39" t="s">
        <v>13</v>
      </c>
      <c r="Q19" s="134">
        <f t="shared" si="2"/>
      </c>
      <c r="R19" s="271">
        <f>Отчет!$Q$4</f>
        <v>937015</v>
      </c>
    </row>
    <row r="20" spans="1:18" ht="12.75">
      <c r="A20" s="42">
        <v>19</v>
      </c>
      <c r="B20" s="21" t="s">
        <v>585</v>
      </c>
      <c r="C20" s="39" t="s">
        <v>469</v>
      </c>
      <c r="D20" s="39" t="s">
        <v>378</v>
      </c>
      <c r="E20" s="42" t="s">
        <v>99</v>
      </c>
      <c r="F20" s="39" t="s">
        <v>153</v>
      </c>
      <c r="G20" s="176">
        <v>9</v>
      </c>
      <c r="H20" s="269">
        <f t="shared" si="1"/>
        <v>9</v>
      </c>
      <c r="I20" s="42"/>
      <c r="J20" s="39" t="s">
        <v>126</v>
      </c>
      <c r="K20" s="200">
        <v>50</v>
      </c>
      <c r="L20" s="39">
        <v>90</v>
      </c>
      <c r="M20" s="4">
        <f>K20/L20</f>
        <v>0.5555555555555556</v>
      </c>
      <c r="N20" s="39" t="s">
        <v>50</v>
      </c>
      <c r="O20" s="39" t="s">
        <v>76</v>
      </c>
      <c r="P20" s="39" t="s">
        <v>13</v>
      </c>
      <c r="Q20" s="134">
        <f t="shared" si="2"/>
      </c>
      <c r="R20" s="271">
        <f>Отчет!$Q$4</f>
        <v>937015</v>
      </c>
    </row>
    <row r="21" spans="1:18" ht="12.75">
      <c r="A21" s="42">
        <v>20</v>
      </c>
      <c r="B21" s="21" t="s">
        <v>586</v>
      </c>
      <c r="C21" s="39" t="s">
        <v>516</v>
      </c>
      <c r="D21" s="39" t="s">
        <v>535</v>
      </c>
      <c r="E21" s="42" t="s">
        <v>98</v>
      </c>
      <c r="F21" s="39" t="s">
        <v>153</v>
      </c>
      <c r="G21" s="176">
        <v>9</v>
      </c>
      <c r="H21" s="269">
        <f t="shared" si="1"/>
        <v>9</v>
      </c>
      <c r="I21" s="42"/>
      <c r="J21" s="39" t="s">
        <v>126</v>
      </c>
      <c r="K21" s="200">
        <v>15</v>
      </c>
      <c r="L21" s="39">
        <v>90</v>
      </c>
      <c r="M21" s="4">
        <f aca="true" t="shared" si="3" ref="M21:M33">K21/L21</f>
        <v>0.16666666666666666</v>
      </c>
      <c r="N21" s="39" t="s">
        <v>58</v>
      </c>
      <c r="O21" s="39" t="s">
        <v>76</v>
      </c>
      <c r="P21" s="39" t="s">
        <v>13</v>
      </c>
      <c r="Q21" s="134">
        <f t="shared" si="2"/>
      </c>
      <c r="R21" s="271">
        <f>Отчет!$Q$4</f>
        <v>937015</v>
      </c>
    </row>
    <row r="22" spans="1:18" ht="12.75">
      <c r="A22" s="42">
        <v>21</v>
      </c>
      <c r="B22" s="21" t="s">
        <v>587</v>
      </c>
      <c r="C22" s="39" t="s">
        <v>428</v>
      </c>
      <c r="D22" s="39" t="s">
        <v>380</v>
      </c>
      <c r="E22" s="42" t="s">
        <v>99</v>
      </c>
      <c r="F22" s="39" t="s">
        <v>153</v>
      </c>
      <c r="G22" s="176">
        <v>9</v>
      </c>
      <c r="H22" s="269">
        <f t="shared" si="1"/>
        <v>9</v>
      </c>
      <c r="I22" s="42"/>
      <c r="J22" s="39" t="s">
        <v>126</v>
      </c>
      <c r="K22" s="200">
        <v>12</v>
      </c>
      <c r="L22" s="39">
        <v>90</v>
      </c>
      <c r="M22" s="4">
        <f t="shared" si="3"/>
        <v>0.13333333333333333</v>
      </c>
      <c r="N22" s="39" t="s">
        <v>58</v>
      </c>
      <c r="O22" s="39" t="s">
        <v>76</v>
      </c>
      <c r="P22" s="39" t="s">
        <v>13</v>
      </c>
      <c r="Q22" s="134">
        <f t="shared" si="2"/>
      </c>
      <c r="R22" s="271">
        <f>Отчет!$Q$4</f>
        <v>937015</v>
      </c>
    </row>
    <row r="23" spans="1:18" ht="12.75">
      <c r="A23" s="42">
        <v>22</v>
      </c>
      <c r="B23" s="21" t="s">
        <v>588</v>
      </c>
      <c r="C23" s="39" t="s">
        <v>469</v>
      </c>
      <c r="D23" s="39" t="s">
        <v>386</v>
      </c>
      <c r="E23" s="42" t="s">
        <v>99</v>
      </c>
      <c r="F23" s="39" t="s">
        <v>153</v>
      </c>
      <c r="G23" s="176">
        <v>9</v>
      </c>
      <c r="H23" s="269">
        <f t="shared" si="1"/>
        <v>9</v>
      </c>
      <c r="I23" s="42"/>
      <c r="J23" s="39" t="s">
        <v>126</v>
      </c>
      <c r="K23" s="200">
        <v>8</v>
      </c>
      <c r="L23" s="39">
        <v>90</v>
      </c>
      <c r="M23" s="4">
        <f t="shared" si="3"/>
        <v>0.08888888888888889</v>
      </c>
      <c r="N23" s="39" t="s">
        <v>58</v>
      </c>
      <c r="O23" s="39" t="s">
        <v>76</v>
      </c>
      <c r="P23" s="39" t="s">
        <v>13</v>
      </c>
      <c r="Q23" s="134">
        <f t="shared" si="2"/>
      </c>
      <c r="R23" s="271">
        <f>Отчет!$Q$4</f>
        <v>937015</v>
      </c>
    </row>
    <row r="24" spans="1:18" ht="12.75">
      <c r="A24" s="42">
        <v>23</v>
      </c>
      <c r="B24" s="21" t="s">
        <v>589</v>
      </c>
      <c r="C24" s="39" t="s">
        <v>590</v>
      </c>
      <c r="D24" s="39" t="s">
        <v>386</v>
      </c>
      <c r="E24" s="42" t="s">
        <v>99</v>
      </c>
      <c r="F24" s="39" t="s">
        <v>153</v>
      </c>
      <c r="G24" s="176">
        <v>10</v>
      </c>
      <c r="H24" s="269">
        <f t="shared" si="1"/>
        <v>10</v>
      </c>
      <c r="I24" s="42"/>
      <c r="J24" s="39" t="s">
        <v>126</v>
      </c>
      <c r="K24" s="200">
        <v>37</v>
      </c>
      <c r="L24" s="39">
        <v>90</v>
      </c>
      <c r="M24" s="4">
        <f t="shared" si="3"/>
        <v>0.4111111111111111</v>
      </c>
      <c r="N24" s="39" t="s">
        <v>58</v>
      </c>
      <c r="O24" s="39" t="s">
        <v>76</v>
      </c>
      <c r="P24" s="39" t="s">
        <v>13</v>
      </c>
      <c r="Q24" s="134">
        <f t="shared" si="2"/>
      </c>
      <c r="R24" s="271">
        <f>Отчет!$Q$4</f>
        <v>937015</v>
      </c>
    </row>
    <row r="25" spans="1:18" ht="12.75">
      <c r="A25" s="42">
        <v>24</v>
      </c>
      <c r="B25" s="21" t="s">
        <v>591</v>
      </c>
      <c r="C25" s="39" t="s">
        <v>592</v>
      </c>
      <c r="D25" s="39" t="s">
        <v>579</v>
      </c>
      <c r="E25" s="42" t="s">
        <v>99</v>
      </c>
      <c r="F25" s="39" t="s">
        <v>153</v>
      </c>
      <c r="G25" s="176">
        <v>10</v>
      </c>
      <c r="H25" s="269">
        <f t="shared" si="1"/>
        <v>10</v>
      </c>
      <c r="I25" s="42"/>
      <c r="J25" s="39" t="s">
        <v>126</v>
      </c>
      <c r="K25" s="200">
        <v>35</v>
      </c>
      <c r="L25" s="39">
        <v>90</v>
      </c>
      <c r="M25" s="4">
        <f t="shared" si="3"/>
        <v>0.3888888888888889</v>
      </c>
      <c r="N25" s="39" t="s">
        <v>58</v>
      </c>
      <c r="O25" s="39" t="s">
        <v>76</v>
      </c>
      <c r="P25" s="39" t="s">
        <v>13</v>
      </c>
      <c r="Q25" s="134">
        <f t="shared" si="2"/>
      </c>
      <c r="R25" s="271">
        <f>Отчет!$Q$4</f>
        <v>937015</v>
      </c>
    </row>
    <row r="26" spans="1:18" ht="12.75">
      <c r="A26" s="42">
        <v>25</v>
      </c>
      <c r="B26" s="21" t="s">
        <v>519</v>
      </c>
      <c r="C26" s="39" t="s">
        <v>520</v>
      </c>
      <c r="D26" s="39" t="s">
        <v>471</v>
      </c>
      <c r="E26" s="42" t="s">
        <v>98</v>
      </c>
      <c r="F26" s="39" t="s">
        <v>153</v>
      </c>
      <c r="G26" s="176">
        <v>10</v>
      </c>
      <c r="H26" s="269">
        <f t="shared" si="1"/>
        <v>10</v>
      </c>
      <c r="I26" s="42"/>
      <c r="J26" s="39" t="s">
        <v>126</v>
      </c>
      <c r="K26" s="200">
        <v>16</v>
      </c>
      <c r="L26" s="39">
        <v>90</v>
      </c>
      <c r="M26" s="4">
        <f t="shared" si="3"/>
        <v>0.17777777777777778</v>
      </c>
      <c r="N26" s="39" t="s">
        <v>58</v>
      </c>
      <c r="O26" s="39" t="s">
        <v>76</v>
      </c>
      <c r="P26" s="39" t="s">
        <v>13</v>
      </c>
      <c r="Q26" s="134">
        <f t="shared" si="2"/>
      </c>
      <c r="R26" s="271">
        <f>Отчет!$Q$4</f>
        <v>937015</v>
      </c>
    </row>
    <row r="27" spans="1:18" ht="12.75">
      <c r="A27" s="42">
        <v>26</v>
      </c>
      <c r="B27" s="21" t="s">
        <v>593</v>
      </c>
      <c r="C27" s="39" t="s">
        <v>516</v>
      </c>
      <c r="D27" s="39" t="s">
        <v>471</v>
      </c>
      <c r="E27" s="42" t="s">
        <v>98</v>
      </c>
      <c r="F27" s="39" t="s">
        <v>153</v>
      </c>
      <c r="G27" s="176">
        <v>10</v>
      </c>
      <c r="H27" s="269">
        <f t="shared" si="1"/>
        <v>10</v>
      </c>
      <c r="I27" s="42"/>
      <c r="J27" s="39" t="s">
        <v>126</v>
      </c>
      <c r="K27" s="200">
        <v>15</v>
      </c>
      <c r="L27" s="39">
        <v>90</v>
      </c>
      <c r="M27" s="4">
        <f t="shared" si="3"/>
        <v>0.16666666666666666</v>
      </c>
      <c r="N27" s="39" t="s">
        <v>58</v>
      </c>
      <c r="O27" s="39" t="s">
        <v>76</v>
      </c>
      <c r="P27" s="39" t="s">
        <v>13</v>
      </c>
      <c r="Q27" s="134">
        <f t="shared" si="2"/>
      </c>
      <c r="R27" s="271">
        <f>Отчет!$Q$4</f>
        <v>937015</v>
      </c>
    </row>
    <row r="28" spans="1:18" ht="12.75">
      <c r="A28" s="42">
        <v>27</v>
      </c>
      <c r="B28" s="21" t="s">
        <v>594</v>
      </c>
      <c r="C28" s="39" t="s">
        <v>560</v>
      </c>
      <c r="D28" s="39" t="s">
        <v>386</v>
      </c>
      <c r="E28" s="42" t="s">
        <v>99</v>
      </c>
      <c r="F28" s="39" t="s">
        <v>153</v>
      </c>
      <c r="G28" s="176">
        <v>10</v>
      </c>
      <c r="H28" s="269">
        <f t="shared" si="1"/>
        <v>10</v>
      </c>
      <c r="I28" s="42"/>
      <c r="J28" s="39" t="s">
        <v>126</v>
      </c>
      <c r="K28" s="200">
        <v>6</v>
      </c>
      <c r="L28" s="39">
        <v>90</v>
      </c>
      <c r="M28" s="4">
        <f t="shared" si="3"/>
        <v>0.06666666666666667</v>
      </c>
      <c r="N28" s="39" t="s">
        <v>58</v>
      </c>
      <c r="O28" s="39" t="s">
        <v>76</v>
      </c>
      <c r="P28" s="39" t="s">
        <v>13</v>
      </c>
      <c r="Q28" s="134">
        <f t="shared" si="2"/>
      </c>
      <c r="R28" s="271">
        <f>Отчет!$Q$4</f>
        <v>937015</v>
      </c>
    </row>
    <row r="29" spans="1:18" ht="12.75">
      <c r="A29" s="42">
        <v>28</v>
      </c>
      <c r="B29" s="21" t="s">
        <v>595</v>
      </c>
      <c r="C29" s="39" t="s">
        <v>507</v>
      </c>
      <c r="D29" s="39" t="s">
        <v>401</v>
      </c>
      <c r="E29" s="42" t="s">
        <v>98</v>
      </c>
      <c r="F29" s="39" t="s">
        <v>153</v>
      </c>
      <c r="G29" s="176">
        <v>11</v>
      </c>
      <c r="H29" s="269">
        <f t="shared" si="1"/>
        <v>11</v>
      </c>
      <c r="I29" s="42"/>
      <c r="J29" s="39" t="s">
        <v>126</v>
      </c>
      <c r="K29" s="200">
        <v>70</v>
      </c>
      <c r="L29" s="39">
        <v>90</v>
      </c>
      <c r="M29" s="4">
        <f t="shared" si="3"/>
        <v>0.7777777777777778</v>
      </c>
      <c r="N29" s="39" t="s">
        <v>49</v>
      </c>
      <c r="O29" s="39" t="s">
        <v>76</v>
      </c>
      <c r="P29" s="39" t="s">
        <v>13</v>
      </c>
      <c r="Q29" s="134">
        <f t="shared" si="2"/>
      </c>
      <c r="R29" s="271">
        <f>Отчет!$Q$4</f>
        <v>937015</v>
      </c>
    </row>
    <row r="30" spans="1:18" ht="12.75">
      <c r="A30" s="42">
        <v>29</v>
      </c>
      <c r="B30" s="21" t="s">
        <v>596</v>
      </c>
      <c r="C30" s="39" t="s">
        <v>597</v>
      </c>
      <c r="D30" s="39" t="s">
        <v>480</v>
      </c>
      <c r="E30" s="42" t="s">
        <v>99</v>
      </c>
      <c r="F30" s="39" t="s">
        <v>153</v>
      </c>
      <c r="G30" s="176">
        <v>11</v>
      </c>
      <c r="H30" s="269">
        <f t="shared" si="1"/>
        <v>11</v>
      </c>
      <c r="I30" s="42"/>
      <c r="J30" s="39" t="s">
        <v>126</v>
      </c>
      <c r="K30" s="200">
        <v>27</v>
      </c>
      <c r="L30" s="39">
        <v>90</v>
      </c>
      <c r="M30" s="4">
        <f t="shared" si="3"/>
        <v>0.3</v>
      </c>
      <c r="N30" s="39" t="s">
        <v>50</v>
      </c>
      <c r="O30" s="39" t="s">
        <v>76</v>
      </c>
      <c r="P30" s="39" t="s">
        <v>13</v>
      </c>
      <c r="Q30" s="134">
        <f t="shared" si="2"/>
      </c>
      <c r="R30" s="271">
        <f>Отчет!$Q$4</f>
        <v>937015</v>
      </c>
    </row>
    <row r="31" spans="1:18" ht="12.75">
      <c r="A31" s="42">
        <v>30</v>
      </c>
      <c r="B31" s="21" t="s">
        <v>598</v>
      </c>
      <c r="C31" s="39" t="s">
        <v>599</v>
      </c>
      <c r="D31" s="39" t="s">
        <v>600</v>
      </c>
      <c r="E31" s="42" t="s">
        <v>99</v>
      </c>
      <c r="F31" s="39" t="s">
        <v>153</v>
      </c>
      <c r="G31" s="176">
        <v>11</v>
      </c>
      <c r="H31" s="269">
        <f t="shared" si="1"/>
        <v>11</v>
      </c>
      <c r="I31" s="42"/>
      <c r="J31" s="39" t="s">
        <v>126</v>
      </c>
      <c r="K31" s="200">
        <v>17</v>
      </c>
      <c r="L31" s="39">
        <v>90</v>
      </c>
      <c r="M31" s="4">
        <f t="shared" si="3"/>
        <v>0.18888888888888888</v>
      </c>
      <c r="N31" s="39" t="s">
        <v>58</v>
      </c>
      <c r="O31" s="39" t="s">
        <v>76</v>
      </c>
      <c r="P31" s="39" t="s">
        <v>13</v>
      </c>
      <c r="Q31" s="134">
        <f t="shared" si="2"/>
      </c>
      <c r="R31" s="271">
        <f>Отчет!$Q$4</f>
        <v>937015</v>
      </c>
    </row>
    <row r="32" spans="1:18" ht="12.75">
      <c r="A32" s="42">
        <v>31</v>
      </c>
      <c r="B32" s="21" t="s">
        <v>601</v>
      </c>
      <c r="C32" s="39" t="s">
        <v>388</v>
      </c>
      <c r="D32" s="39" t="s">
        <v>386</v>
      </c>
      <c r="E32" s="42" t="s">
        <v>99</v>
      </c>
      <c r="F32" s="39" t="s">
        <v>153</v>
      </c>
      <c r="G32" s="176">
        <v>11</v>
      </c>
      <c r="H32" s="269">
        <f t="shared" si="1"/>
        <v>11</v>
      </c>
      <c r="I32" s="42"/>
      <c r="J32" s="39" t="s">
        <v>126</v>
      </c>
      <c r="K32" s="200">
        <v>16</v>
      </c>
      <c r="L32" s="39">
        <v>90</v>
      </c>
      <c r="M32" s="4">
        <f t="shared" si="3"/>
        <v>0.17777777777777778</v>
      </c>
      <c r="N32" s="39" t="s">
        <v>58</v>
      </c>
      <c r="O32" s="39" t="s">
        <v>76</v>
      </c>
      <c r="P32" s="39" t="s">
        <v>13</v>
      </c>
      <c r="Q32" s="134">
        <f t="shared" si="2"/>
      </c>
      <c r="R32" s="271">
        <f>Отчет!$Q$4</f>
        <v>937015</v>
      </c>
    </row>
    <row r="33" spans="1:18" ht="12.75">
      <c r="A33" s="42">
        <v>32</v>
      </c>
      <c r="B33" s="21" t="s">
        <v>602</v>
      </c>
      <c r="C33" s="39" t="s">
        <v>562</v>
      </c>
      <c r="D33" s="39" t="s">
        <v>395</v>
      </c>
      <c r="E33" s="42" t="s">
        <v>99</v>
      </c>
      <c r="F33" s="39" t="s">
        <v>153</v>
      </c>
      <c r="G33" s="176">
        <v>11</v>
      </c>
      <c r="H33" s="269">
        <f t="shared" si="1"/>
        <v>11</v>
      </c>
      <c r="I33" s="42"/>
      <c r="J33" s="39" t="s">
        <v>126</v>
      </c>
      <c r="K33" s="200">
        <v>15</v>
      </c>
      <c r="L33" s="39">
        <v>90</v>
      </c>
      <c r="M33" s="4">
        <f t="shared" si="3"/>
        <v>0.16666666666666666</v>
      </c>
      <c r="N33" s="39" t="s">
        <v>58</v>
      </c>
      <c r="O33" s="39" t="s">
        <v>76</v>
      </c>
      <c r="P33" s="39" t="s">
        <v>13</v>
      </c>
      <c r="Q33" s="134">
        <f t="shared" si="2"/>
      </c>
      <c r="R33" s="271">
        <f>Отчет!$Q$4</f>
        <v>937015</v>
      </c>
    </row>
    <row r="34" spans="3:16" ht="12.75">
      <c r="C34" s="73"/>
      <c r="D34" s="73"/>
      <c r="E34" s="73"/>
      <c r="F34" s="73"/>
      <c r="G34" s="73"/>
      <c r="H34" s="73"/>
      <c r="I34" s="73"/>
      <c r="J34" s="73"/>
      <c r="K34" s="79"/>
      <c r="L34" s="73"/>
      <c r="M34" s="80"/>
      <c r="N34" s="73"/>
      <c r="O34" s="164"/>
      <c r="P34" s="73"/>
    </row>
    <row r="35" spans="3:16" ht="12.75">
      <c r="C35" s="73"/>
      <c r="D35" s="73"/>
      <c r="E35" s="73"/>
      <c r="F35" s="73"/>
      <c r="G35" s="73"/>
      <c r="H35" s="73"/>
      <c r="I35" s="73"/>
      <c r="J35" s="73"/>
      <c r="K35" s="79"/>
      <c r="L35" s="73"/>
      <c r="M35" s="80"/>
      <c r="N35" s="73"/>
      <c r="O35" s="164"/>
      <c r="P35" s="73"/>
    </row>
    <row r="36" spans="3:16" ht="12.75">
      <c r="C36" s="73"/>
      <c r="D36" s="73"/>
      <c r="E36" s="73"/>
      <c r="F36" s="73"/>
      <c r="G36" s="73"/>
      <c r="H36" s="73"/>
      <c r="I36" s="73"/>
      <c r="J36" s="73"/>
      <c r="K36" s="79"/>
      <c r="L36" s="73"/>
      <c r="M36" s="80"/>
      <c r="N36" s="73"/>
      <c r="O36" s="164"/>
      <c r="P36" s="73"/>
    </row>
    <row r="37" spans="3:16" ht="12.75">
      <c r="C37" s="73"/>
      <c r="D37" s="73"/>
      <c r="E37" s="73"/>
      <c r="F37" s="73"/>
      <c r="G37" s="73"/>
      <c r="H37" s="73"/>
      <c r="I37" s="73"/>
      <c r="J37" s="73"/>
      <c r="K37" s="79"/>
      <c r="L37" s="73"/>
      <c r="M37" s="80"/>
      <c r="N37" s="73"/>
      <c r="O37" s="164"/>
      <c r="P37" s="73"/>
    </row>
    <row r="38" spans="3:16" ht="12.75">
      <c r="C38" s="73"/>
      <c r="D38" s="73"/>
      <c r="E38" s="73"/>
      <c r="F38" s="73"/>
      <c r="G38" s="73"/>
      <c r="H38" s="73"/>
      <c r="I38" s="73"/>
      <c r="J38" s="73"/>
      <c r="K38" s="79"/>
      <c r="L38" s="73"/>
      <c r="M38" s="80"/>
      <c r="N38" s="73"/>
      <c r="O38" s="164"/>
      <c r="P38" s="73"/>
    </row>
    <row r="39" spans="3:16" ht="12.75">
      <c r="C39" s="73"/>
      <c r="D39" s="73"/>
      <c r="E39" s="73"/>
      <c r="F39" s="73"/>
      <c r="G39" s="73"/>
      <c r="H39" s="73"/>
      <c r="I39" s="73"/>
      <c r="J39" s="73"/>
      <c r="K39" s="79"/>
      <c r="L39" s="73"/>
      <c r="M39" s="80"/>
      <c r="N39" s="73"/>
      <c r="O39" s="164"/>
      <c r="P39" s="73"/>
    </row>
    <row r="40" spans="3:16" ht="12.75">
      <c r="C40" s="73"/>
      <c r="D40" s="73"/>
      <c r="E40" s="73"/>
      <c r="F40" s="73"/>
      <c r="G40" s="73"/>
      <c r="H40" s="73"/>
      <c r="I40" s="73"/>
      <c r="J40" s="73"/>
      <c r="K40" s="79"/>
      <c r="L40" s="73"/>
      <c r="M40" s="80"/>
      <c r="N40" s="73"/>
      <c r="O40" s="164"/>
      <c r="P40" s="73"/>
    </row>
    <row r="41" spans="3:16" ht="12.75">
      <c r="C41" s="73"/>
      <c r="D41" s="73"/>
      <c r="E41" s="73"/>
      <c r="F41" s="73"/>
      <c r="G41" s="73"/>
      <c r="H41" s="73"/>
      <c r="I41" s="73"/>
      <c r="J41" s="73"/>
      <c r="K41" s="79"/>
      <c r="L41" s="73"/>
      <c r="M41" s="80"/>
      <c r="N41" s="73"/>
      <c r="O41" s="164"/>
      <c r="P41" s="73"/>
    </row>
    <row r="42" spans="3:16" ht="12.75">
      <c r="C42" s="73"/>
      <c r="D42" s="73"/>
      <c r="E42" s="73"/>
      <c r="F42" s="73"/>
      <c r="G42" s="73"/>
      <c r="H42" s="73"/>
      <c r="I42" s="73"/>
      <c r="J42" s="73"/>
      <c r="K42" s="79"/>
      <c r="L42" s="73"/>
      <c r="M42" s="80"/>
      <c r="N42" s="73"/>
      <c r="O42" s="164"/>
      <c r="P42" s="73"/>
    </row>
    <row r="43" spans="3:16" ht="12.75">
      <c r="C43" s="73"/>
      <c r="D43" s="73"/>
      <c r="E43" s="73"/>
      <c r="F43" s="73"/>
      <c r="G43" s="73"/>
      <c r="H43" s="73"/>
      <c r="I43" s="73"/>
      <c r="J43" s="73"/>
      <c r="K43" s="79"/>
      <c r="L43" s="73"/>
      <c r="M43" s="80"/>
      <c r="N43" s="73"/>
      <c r="O43" s="164"/>
      <c r="P43" s="73"/>
    </row>
    <row r="44" spans="3:16" ht="12.75">
      <c r="C44" s="73"/>
      <c r="D44" s="73"/>
      <c r="E44" s="73"/>
      <c r="F44" s="73"/>
      <c r="G44" s="73"/>
      <c r="H44" s="73"/>
      <c r="I44" s="73"/>
      <c r="J44" s="73"/>
      <c r="K44" s="79"/>
      <c r="L44" s="73"/>
      <c r="M44" s="80"/>
      <c r="N44" s="73"/>
      <c r="O44" s="164"/>
      <c r="P44" s="73"/>
    </row>
    <row r="45" spans="3:16" ht="12.75">
      <c r="C45" s="73"/>
      <c r="D45" s="73"/>
      <c r="E45" s="73"/>
      <c r="G45" s="73"/>
      <c r="H45" s="73"/>
      <c r="I45" s="73"/>
      <c r="J45" s="73"/>
      <c r="K45" s="79"/>
      <c r="L45" s="73"/>
      <c r="M45" s="80"/>
      <c r="N45" s="73"/>
      <c r="O45" s="164"/>
      <c r="P45" s="73"/>
    </row>
    <row r="46" ht="12.75">
      <c r="J46" s="73"/>
    </row>
    <row r="47" ht="12.75">
      <c r="J47" s="73"/>
    </row>
    <row r="48" ht="12.75">
      <c r="J48" s="73"/>
    </row>
    <row r="49" ht="12.75">
      <c r="J49" s="73"/>
    </row>
    <row r="50" ht="12.75">
      <c r="J50" s="73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dataValidations count="6">
    <dataValidation type="list" allowBlank="1" showInputMessage="1" showErrorMessage="1" sqref="N2:N45">
      <formula1>Статус</formula1>
    </dataValidation>
    <dataValidation type="list" allowBlank="1" showInputMessage="1" showErrorMessage="1" sqref="E2:E45">
      <formula1>Пол</formula1>
    </dataValidation>
    <dataValidation type="list" allowBlank="1" showInputMessage="1" showErrorMessage="1" sqref="I2:I45">
      <formula1>Специализированные_классы</formula1>
    </dataValidation>
    <dataValidation type="list" allowBlank="1" showInputMessage="1" showErrorMessage="1" sqref="O2:O45">
      <formula1>Район</formula1>
    </dataValidation>
    <dataValidation type="list" allowBlank="1" showInputMessage="1" showErrorMessage="1" sqref="F2:F44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3.1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>
        <v>6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77">
        <f>IF(COUNTIF(Q1:Q1000,"Введите дату рождения")&lt;&gt;0,"1","")</f>
      </c>
    </row>
    <row r="2" spans="1:18" ht="12.75" customHeight="1">
      <c r="A2" s="42">
        <v>1</v>
      </c>
      <c r="B2" s="39" t="s">
        <v>515</v>
      </c>
      <c r="C2" s="39" t="s">
        <v>517</v>
      </c>
      <c r="D2" s="39" t="s">
        <v>417</v>
      </c>
      <c r="E2" s="42" t="s">
        <v>98</v>
      </c>
      <c r="F2" s="39" t="str">
        <f>Отчет!$C$4</f>
        <v>МБОУ СОШ № 153</v>
      </c>
      <c r="G2" s="176">
        <v>10</v>
      </c>
      <c r="H2" s="270">
        <f aca="true" t="shared" si="0" ref="H2:H20">G2</f>
        <v>10</v>
      </c>
      <c r="I2" s="39"/>
      <c r="J2" s="39" t="s">
        <v>126</v>
      </c>
      <c r="K2" s="165">
        <v>7</v>
      </c>
      <c r="L2" s="39">
        <v>40</v>
      </c>
      <c r="M2" s="4">
        <f aca="true" t="shared" si="1" ref="M2:M20">K2/L2</f>
        <v>0.175</v>
      </c>
      <c r="N2" s="39" t="s">
        <v>58</v>
      </c>
      <c r="O2" s="39" t="s">
        <v>76</v>
      </c>
      <c r="P2" s="21" t="s">
        <v>19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>
        <v>2</v>
      </c>
      <c r="B3" s="39" t="s">
        <v>593</v>
      </c>
      <c r="C3" s="39" t="s">
        <v>516</v>
      </c>
      <c r="D3" s="39" t="s">
        <v>471</v>
      </c>
      <c r="E3" s="42" t="s">
        <v>98</v>
      </c>
      <c r="F3" s="39" t="str">
        <f>Отчет!$C$4</f>
        <v>МБОУ СОШ № 153</v>
      </c>
      <c r="G3" s="176">
        <v>10</v>
      </c>
      <c r="H3" s="270">
        <f t="shared" si="0"/>
        <v>10</v>
      </c>
      <c r="I3" s="39"/>
      <c r="J3" s="39" t="s">
        <v>126</v>
      </c>
      <c r="K3" s="165">
        <v>6</v>
      </c>
      <c r="L3" s="39">
        <v>40</v>
      </c>
      <c r="M3" s="4">
        <f t="shared" si="1"/>
        <v>0.15</v>
      </c>
      <c r="N3" s="39" t="s">
        <v>58</v>
      </c>
      <c r="O3" s="39" t="s">
        <v>76</v>
      </c>
      <c r="P3" s="21" t="s">
        <v>19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 customHeight="1">
      <c r="A4" s="42">
        <v>3</v>
      </c>
      <c r="B4" s="21" t="s">
        <v>519</v>
      </c>
      <c r="C4" s="39" t="s">
        <v>520</v>
      </c>
      <c r="D4" s="39" t="s">
        <v>471</v>
      </c>
      <c r="E4" s="42" t="s">
        <v>98</v>
      </c>
      <c r="F4" s="39" t="str">
        <f>Отчет!$C$4</f>
        <v>МБОУ СОШ № 153</v>
      </c>
      <c r="G4" s="176">
        <v>10</v>
      </c>
      <c r="H4" s="270">
        <f t="shared" si="0"/>
        <v>10</v>
      </c>
      <c r="I4" s="39"/>
      <c r="J4" s="39" t="s">
        <v>126</v>
      </c>
      <c r="K4" s="165">
        <v>5</v>
      </c>
      <c r="L4" s="39">
        <v>40</v>
      </c>
      <c r="M4" s="4">
        <f t="shared" si="1"/>
        <v>0.125</v>
      </c>
      <c r="N4" s="39" t="s">
        <v>58</v>
      </c>
      <c r="O4" s="39" t="s">
        <v>76</v>
      </c>
      <c r="P4" s="21" t="s">
        <v>19</v>
      </c>
      <c r="Q4" s="134">
        <f t="shared" si="2"/>
      </c>
      <c r="R4" s="271">
        <f>Отчет!$Q$4</f>
        <v>937015</v>
      </c>
    </row>
    <row r="5" spans="1:18" ht="12.75" customHeight="1">
      <c r="A5" s="166"/>
      <c r="B5" s="21"/>
      <c r="C5" s="39"/>
      <c r="D5" s="39"/>
      <c r="E5" s="42"/>
      <c r="F5" s="39"/>
      <c r="G5" s="176"/>
      <c r="H5" s="270">
        <f t="shared" si="0"/>
        <v>0</v>
      </c>
      <c r="I5" s="39"/>
      <c r="J5" s="39"/>
      <c r="K5" s="165"/>
      <c r="L5" s="39"/>
      <c r="M5" s="4" t="e">
        <f t="shared" si="1"/>
        <v>#DIV/0!</v>
      </c>
      <c r="N5" s="39"/>
      <c r="O5" s="39"/>
      <c r="P5" s="21" t="s">
        <v>19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/>
      <c r="G6" s="176"/>
      <c r="H6" s="270">
        <f t="shared" si="0"/>
        <v>0</v>
      </c>
      <c r="I6" s="39"/>
      <c r="J6" s="39"/>
      <c r="K6" s="165"/>
      <c r="L6" s="39"/>
      <c r="M6" s="4" t="e">
        <f t="shared" si="1"/>
        <v>#DIV/0!</v>
      </c>
      <c r="N6" s="39"/>
      <c r="O6" s="39"/>
      <c r="P6" s="21" t="s">
        <v>19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/>
      <c r="G7" s="176"/>
      <c r="H7" s="270">
        <f t="shared" si="0"/>
        <v>0</v>
      </c>
      <c r="I7" s="39"/>
      <c r="J7" s="39"/>
      <c r="K7" s="165"/>
      <c r="L7" s="39"/>
      <c r="M7" s="4" t="e">
        <f t="shared" si="1"/>
        <v>#DIV/0!</v>
      </c>
      <c r="N7" s="39"/>
      <c r="O7" s="39"/>
      <c r="P7" s="21" t="s">
        <v>19</v>
      </c>
      <c r="Q7" s="134">
        <f t="shared" si="2"/>
      </c>
      <c r="R7" s="271">
        <f>Отчет!$Q$4</f>
        <v>937015</v>
      </c>
    </row>
    <row r="8" spans="1:18" ht="12.75" customHeight="1">
      <c r="A8" s="166"/>
      <c r="B8" s="21"/>
      <c r="C8" s="39"/>
      <c r="D8" s="39"/>
      <c r="E8" s="42"/>
      <c r="F8" s="39"/>
      <c r="G8" s="176"/>
      <c r="H8" s="270">
        <f t="shared" si="0"/>
        <v>0</v>
      </c>
      <c r="I8" s="39"/>
      <c r="J8" s="39"/>
      <c r="K8" s="165"/>
      <c r="L8" s="39"/>
      <c r="M8" s="4" t="e">
        <f t="shared" si="1"/>
        <v>#DIV/0!</v>
      </c>
      <c r="N8" s="39"/>
      <c r="O8" s="39"/>
      <c r="P8" s="21" t="s">
        <v>19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/>
      <c r="G9" s="176"/>
      <c r="H9" s="270">
        <f t="shared" si="0"/>
        <v>0</v>
      </c>
      <c r="I9" s="39"/>
      <c r="J9" s="39"/>
      <c r="K9" s="165"/>
      <c r="L9" s="39"/>
      <c r="M9" s="4" t="e">
        <f t="shared" si="1"/>
        <v>#DIV/0!</v>
      </c>
      <c r="N9" s="39"/>
      <c r="O9" s="39"/>
      <c r="P9" s="21" t="s">
        <v>19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/>
      <c r="G10" s="176"/>
      <c r="H10" s="270">
        <f t="shared" si="0"/>
        <v>0</v>
      </c>
      <c r="I10" s="39"/>
      <c r="J10" s="39"/>
      <c r="K10" s="165"/>
      <c r="L10" s="39"/>
      <c r="M10" s="4" t="e">
        <f t="shared" si="1"/>
        <v>#DIV/0!</v>
      </c>
      <c r="N10" s="39"/>
      <c r="O10" s="39"/>
      <c r="P10" s="21" t="s">
        <v>19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0"/>
        <v>0</v>
      </c>
      <c r="I11" s="39"/>
      <c r="J11" s="39"/>
      <c r="K11" s="165"/>
      <c r="L11" s="39"/>
      <c r="M11" s="4" t="e">
        <f t="shared" si="1"/>
        <v>#DIV/0!</v>
      </c>
      <c r="N11" s="39"/>
      <c r="O11" s="39"/>
      <c r="P11" s="21" t="s">
        <v>19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0"/>
        <v>0</v>
      </c>
      <c r="I12" s="39"/>
      <c r="J12" s="39"/>
      <c r="K12" s="165"/>
      <c r="L12" s="39"/>
      <c r="M12" s="4" t="e">
        <f t="shared" si="1"/>
        <v>#DIV/0!</v>
      </c>
      <c r="N12" s="39"/>
      <c r="O12" s="39"/>
      <c r="P12" s="21" t="s">
        <v>19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0"/>
        <v>0</v>
      </c>
      <c r="I13" s="39"/>
      <c r="J13" s="39"/>
      <c r="K13" s="165"/>
      <c r="L13" s="39"/>
      <c r="M13" s="4" t="e">
        <f t="shared" si="1"/>
        <v>#DIV/0!</v>
      </c>
      <c r="N13" s="39"/>
      <c r="O13" s="39"/>
      <c r="P13" s="21" t="s">
        <v>19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0"/>
        <v>0</v>
      </c>
      <c r="I14" s="39"/>
      <c r="J14" s="39"/>
      <c r="K14" s="165"/>
      <c r="L14" s="39"/>
      <c r="M14" s="4" t="e">
        <f t="shared" si="1"/>
        <v>#DIV/0!</v>
      </c>
      <c r="N14" s="39"/>
      <c r="O14" s="39"/>
      <c r="P14" s="21" t="s">
        <v>19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0"/>
        <v>0</v>
      </c>
      <c r="I15" s="39"/>
      <c r="J15" s="39"/>
      <c r="K15" s="165"/>
      <c r="L15" s="39"/>
      <c r="M15" s="4" t="e">
        <f t="shared" si="1"/>
        <v>#DIV/0!</v>
      </c>
      <c r="N15" s="39"/>
      <c r="O15" s="39"/>
      <c r="P15" s="21" t="s">
        <v>19</v>
      </c>
      <c r="Q15" s="134">
        <f t="shared" si="2"/>
      </c>
      <c r="R15" s="271">
        <f>Отчет!$Q$4</f>
        <v>937015</v>
      </c>
    </row>
    <row r="16" spans="1:18" ht="12.75">
      <c r="A16" s="3"/>
      <c r="B16" s="13"/>
      <c r="C16" s="13"/>
      <c r="D16" s="13"/>
      <c r="E16" s="170"/>
      <c r="F16" s="39"/>
      <c r="G16" s="176"/>
      <c r="H16" s="270">
        <f t="shared" si="0"/>
        <v>0</v>
      </c>
      <c r="I16" s="5"/>
      <c r="J16" s="39"/>
      <c r="K16" s="5"/>
      <c r="L16" s="3"/>
      <c r="M16" s="4" t="e">
        <f t="shared" si="1"/>
        <v>#DIV/0!</v>
      </c>
      <c r="N16" s="37"/>
      <c r="O16" s="39"/>
      <c r="P16" s="21" t="s">
        <v>19</v>
      </c>
      <c r="Q16" s="134">
        <f t="shared" si="2"/>
      </c>
      <c r="R16" s="271">
        <f>Отчет!$Q$4</f>
        <v>937015</v>
      </c>
    </row>
    <row r="17" spans="1:18" ht="12.75">
      <c r="A17" s="3"/>
      <c r="B17" s="13"/>
      <c r="C17" s="13"/>
      <c r="D17" s="13"/>
      <c r="E17" s="170"/>
      <c r="F17" s="39"/>
      <c r="G17" s="176"/>
      <c r="H17" s="270">
        <f t="shared" si="0"/>
        <v>0</v>
      </c>
      <c r="I17" s="5"/>
      <c r="J17" s="39"/>
      <c r="K17" s="5"/>
      <c r="L17" s="3"/>
      <c r="M17" s="4" t="e">
        <f t="shared" si="1"/>
        <v>#DIV/0!</v>
      </c>
      <c r="N17" s="37"/>
      <c r="O17" s="39"/>
      <c r="P17" s="21" t="s">
        <v>19</v>
      </c>
      <c r="Q17" s="134">
        <f t="shared" si="2"/>
      </c>
      <c r="R17" s="271">
        <f>Отчет!$Q$4</f>
        <v>937015</v>
      </c>
    </row>
    <row r="18" spans="1:18" ht="12.75">
      <c r="A18" s="3"/>
      <c r="B18" s="13"/>
      <c r="C18" s="13"/>
      <c r="D18" s="13"/>
      <c r="E18" s="170"/>
      <c r="F18" s="39"/>
      <c r="G18" s="176"/>
      <c r="H18" s="270">
        <f t="shared" si="0"/>
        <v>0</v>
      </c>
      <c r="I18" s="5"/>
      <c r="J18" s="39"/>
      <c r="K18" s="5"/>
      <c r="L18" s="3"/>
      <c r="M18" s="4" t="e">
        <f t="shared" si="1"/>
        <v>#DIV/0!</v>
      </c>
      <c r="N18" s="37"/>
      <c r="O18" s="39"/>
      <c r="P18" s="21" t="s">
        <v>19</v>
      </c>
      <c r="Q18" s="134">
        <f t="shared" si="2"/>
      </c>
      <c r="R18" s="271">
        <f>Отчет!$Q$4</f>
        <v>937015</v>
      </c>
    </row>
    <row r="19" spans="1:18" ht="12.75">
      <c r="A19" s="106"/>
      <c r="B19" s="113"/>
      <c r="C19" s="113"/>
      <c r="D19" s="113"/>
      <c r="E19" s="171"/>
      <c r="F19" s="39"/>
      <c r="G19" s="176"/>
      <c r="H19" s="270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10"/>
      <c r="O19" s="39"/>
      <c r="P19" s="105" t="s">
        <v>19</v>
      </c>
      <c r="Q19" s="134">
        <f t="shared" si="2"/>
      </c>
      <c r="R19" s="271">
        <f>Отчет!$Q$4</f>
        <v>937015</v>
      </c>
    </row>
    <row r="20" spans="1:18" ht="12.75">
      <c r="A20" s="3"/>
      <c r="B20" s="13"/>
      <c r="C20" s="13"/>
      <c r="D20" s="13"/>
      <c r="E20" s="170"/>
      <c r="F20" s="39"/>
      <c r="G20" s="176"/>
      <c r="H20" s="270">
        <f t="shared" si="0"/>
        <v>0</v>
      </c>
      <c r="I20" s="46"/>
      <c r="J20" s="39"/>
      <c r="K20" s="163"/>
      <c r="L20" s="3"/>
      <c r="M20" s="4" t="e">
        <f t="shared" si="1"/>
        <v>#DIV/0!</v>
      </c>
      <c r="N20" s="3"/>
      <c r="O20" s="39"/>
      <c r="P20" s="21" t="s">
        <v>19</v>
      </c>
      <c r="Q20" s="134">
        <f t="shared" si="2"/>
      </c>
      <c r="R20" s="271">
        <f>Отчет!$Q$4</f>
        <v>937015</v>
      </c>
    </row>
    <row r="21" spans="1:15" s="25" customFormat="1" ht="12.75">
      <c r="A21" s="69"/>
      <c r="B21" s="78"/>
      <c r="C21" s="78"/>
      <c r="D21" s="78"/>
      <c r="E21" s="70"/>
      <c r="F21" s="73"/>
      <c r="G21" s="69"/>
      <c r="H21" s="69"/>
      <c r="I21" s="49"/>
      <c r="J21" s="73"/>
      <c r="K21" s="49"/>
      <c r="L21" s="69"/>
      <c r="M21" s="71"/>
      <c r="N21" s="69"/>
      <c r="O21" s="164"/>
    </row>
    <row r="22" spans="1:15" s="25" customFormat="1" ht="12.75">
      <c r="A22" s="69"/>
      <c r="B22" s="78"/>
      <c r="C22" s="78"/>
      <c r="D22" s="78"/>
      <c r="E22" s="70"/>
      <c r="F22" s="73"/>
      <c r="G22" s="69"/>
      <c r="H22" s="69"/>
      <c r="I22" s="49"/>
      <c r="J22" s="73"/>
      <c r="K22" s="49"/>
      <c r="L22" s="69"/>
      <c r="M22" s="71"/>
      <c r="N22" s="69"/>
      <c r="O22" s="164"/>
    </row>
    <row r="23" spans="1:15" s="25" customFormat="1" ht="12.75">
      <c r="A23" s="69"/>
      <c r="B23" s="78"/>
      <c r="C23" s="78"/>
      <c r="D23" s="78"/>
      <c r="E23" s="70"/>
      <c r="F23" s="73"/>
      <c r="G23" s="69"/>
      <c r="H23" s="69"/>
      <c r="I23" s="49"/>
      <c r="J23" s="73"/>
      <c r="K23" s="49"/>
      <c r="L23" s="69"/>
      <c r="M23" s="71"/>
      <c r="N23" s="69"/>
      <c r="O23" s="164"/>
    </row>
    <row r="24" spans="1:15" s="25" customFormat="1" ht="12.75">
      <c r="A24" s="69"/>
      <c r="B24" s="78"/>
      <c r="C24" s="78"/>
      <c r="D24" s="78"/>
      <c r="E24" s="70"/>
      <c r="F24" s="73"/>
      <c r="G24" s="69"/>
      <c r="H24" s="69"/>
      <c r="I24" s="49"/>
      <c r="J24" s="73"/>
      <c r="K24" s="49"/>
      <c r="L24" s="69"/>
      <c r="M24" s="71"/>
      <c r="N24" s="69"/>
      <c r="O24" s="164"/>
    </row>
    <row r="25" spans="1:15" s="25" customFormat="1" ht="12.75">
      <c r="A25" s="69"/>
      <c r="B25" s="78"/>
      <c r="C25" s="78"/>
      <c r="D25" s="78"/>
      <c r="E25" s="70"/>
      <c r="F25" s="73"/>
      <c r="G25" s="69"/>
      <c r="H25" s="69"/>
      <c r="I25" s="49"/>
      <c r="J25" s="73"/>
      <c r="K25" s="49"/>
      <c r="L25" s="69"/>
      <c r="M25" s="71"/>
      <c r="N25" s="69"/>
      <c r="O25" s="164"/>
    </row>
    <row r="26" spans="1:15" s="25" customFormat="1" ht="12.75">
      <c r="A26" s="69"/>
      <c r="B26" s="78"/>
      <c r="C26" s="78"/>
      <c r="D26" s="78"/>
      <c r="E26" s="70"/>
      <c r="F26" s="73"/>
      <c r="G26" s="69"/>
      <c r="H26" s="69"/>
      <c r="I26" s="49"/>
      <c r="J26" s="73"/>
      <c r="K26" s="49"/>
      <c r="L26" s="69"/>
      <c r="M26" s="71"/>
      <c r="N26" s="69"/>
      <c r="O26" s="164"/>
    </row>
    <row r="27" spans="1:15" s="25" customFormat="1" ht="12.75">
      <c r="A27" s="69"/>
      <c r="B27" s="78"/>
      <c r="C27" s="78"/>
      <c r="D27" s="78"/>
      <c r="E27" s="70"/>
      <c r="F27" s="73"/>
      <c r="G27" s="69"/>
      <c r="H27" s="69"/>
      <c r="I27" s="49"/>
      <c r="J27" s="73"/>
      <c r="K27" s="49"/>
      <c r="L27" s="69"/>
      <c r="M27" s="71"/>
      <c r="N27" s="69"/>
      <c r="O27" s="164"/>
    </row>
    <row r="28" spans="1:15" s="25" customFormat="1" ht="12.75">
      <c r="A28" s="69"/>
      <c r="B28" s="78"/>
      <c r="C28" s="78"/>
      <c r="D28" s="78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</row>
    <row r="29" spans="1:15" s="25" customFormat="1" ht="12.75">
      <c r="A29" s="69"/>
      <c r="B29" s="78"/>
      <c r="C29" s="78"/>
      <c r="D29" s="78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</row>
    <row r="30" spans="1:15" s="25" customFormat="1" ht="12.75">
      <c r="A30" s="69"/>
      <c r="B30" s="78"/>
      <c r="C30" s="78"/>
      <c r="D30" s="78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</row>
    <row r="31" spans="1:15" s="25" customFormat="1" ht="12.75">
      <c r="A31" s="69"/>
      <c r="B31" s="78"/>
      <c r="C31" s="78"/>
      <c r="D31" s="78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</row>
    <row r="32" spans="1:15" s="25" customFormat="1" ht="12.75">
      <c r="A32" s="69"/>
      <c r="B32" s="78"/>
      <c r="C32" s="78"/>
      <c r="D32" s="78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</row>
    <row r="33" spans="1:15" s="25" customFormat="1" ht="12.75">
      <c r="A33" s="69"/>
      <c r="B33" s="78"/>
      <c r="C33" s="78"/>
      <c r="D33" s="78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</row>
    <row r="34" spans="3:15" s="25" customFormat="1" ht="12.75">
      <c r="C34" s="78"/>
      <c r="D34" s="78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</row>
    <row r="35" spans="3:16" ht="12.75">
      <c r="C35" s="78"/>
      <c r="D35" s="78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78"/>
      <c r="D36" s="78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78"/>
      <c r="D37" s="78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78"/>
      <c r="D38" s="78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78"/>
      <c r="D39" s="78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78"/>
      <c r="D40" s="78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78"/>
      <c r="D41" s="78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78"/>
      <c r="D42" s="78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78"/>
      <c r="D43" s="78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78"/>
      <c r="D44" s="78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78"/>
      <c r="D45" s="78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78"/>
      <c r="D46" s="78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78"/>
      <c r="D47" s="78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78"/>
      <c r="D48" s="78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78"/>
      <c r="D49" s="78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78"/>
      <c r="D50" s="78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3" width="13.875" style="19" customWidth="1"/>
    <col min="4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0.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9">
        <f>IF(COUNTIF(Q1:Q1000,"Введите дату рождения")&lt;&gt;0,"1","")</f>
      </c>
    </row>
    <row r="2" spans="1:18" ht="12.75">
      <c r="A2" s="42">
        <v>1</v>
      </c>
      <c r="B2" s="21" t="s">
        <v>713</v>
      </c>
      <c r="C2" s="39" t="s">
        <v>487</v>
      </c>
      <c r="D2" s="39" t="s">
        <v>371</v>
      </c>
      <c r="E2" s="42" t="s">
        <v>99</v>
      </c>
      <c r="F2" s="39" t="s">
        <v>153</v>
      </c>
      <c r="G2" s="176">
        <v>5</v>
      </c>
      <c r="H2" s="270">
        <v>5</v>
      </c>
      <c r="I2" s="39"/>
      <c r="J2" s="39" t="s">
        <v>126</v>
      </c>
      <c r="K2" s="165">
        <v>14</v>
      </c>
      <c r="L2" s="39">
        <v>28</v>
      </c>
      <c r="M2" s="51">
        <f>K2/L2</f>
        <v>0.5</v>
      </c>
      <c r="N2" s="39" t="s">
        <v>50</v>
      </c>
      <c r="O2" s="39" t="s">
        <v>76</v>
      </c>
      <c r="P2" s="21" t="s">
        <v>12</v>
      </c>
      <c r="Q2" s="134">
        <f>IF(G16=H16,"","Введите дату рождения")</f>
      </c>
      <c r="R2" s="271">
        <f>Отчет!$Q$4</f>
        <v>937015</v>
      </c>
    </row>
    <row r="3" spans="1:18" ht="12.75">
      <c r="A3" s="42">
        <v>2</v>
      </c>
      <c r="B3" s="21" t="s">
        <v>714</v>
      </c>
      <c r="C3" s="39" t="s">
        <v>397</v>
      </c>
      <c r="D3" s="39" t="s">
        <v>582</v>
      </c>
      <c r="E3" s="42" t="s">
        <v>99</v>
      </c>
      <c r="F3" s="39" t="s">
        <v>299</v>
      </c>
      <c r="G3" s="176">
        <v>5</v>
      </c>
      <c r="H3" s="270">
        <v>5</v>
      </c>
      <c r="I3" s="39"/>
      <c r="J3" s="39" t="s">
        <v>126</v>
      </c>
      <c r="K3" s="165">
        <v>11.5</v>
      </c>
      <c r="L3" s="39">
        <v>28</v>
      </c>
      <c r="M3" s="51">
        <f>K3/L3</f>
        <v>0.4107142857142857</v>
      </c>
      <c r="N3" s="39" t="s">
        <v>58</v>
      </c>
      <c r="O3" s="39" t="s">
        <v>76</v>
      </c>
      <c r="P3" s="21" t="s">
        <v>12</v>
      </c>
      <c r="Q3" s="134">
        <f>IF(G17=H17,"","Введите дату рождения")</f>
      </c>
      <c r="R3" s="271">
        <f>Отчет!$Q$4</f>
        <v>937015</v>
      </c>
    </row>
    <row r="4" spans="1:18" ht="12.75">
      <c r="A4" s="42">
        <v>3</v>
      </c>
      <c r="B4" s="6" t="s">
        <v>521</v>
      </c>
      <c r="C4" s="6" t="s">
        <v>522</v>
      </c>
      <c r="D4" s="6" t="s">
        <v>643</v>
      </c>
      <c r="E4" s="321" t="s">
        <v>99</v>
      </c>
      <c r="F4" s="39" t="s">
        <v>267</v>
      </c>
      <c r="G4" s="176">
        <v>5</v>
      </c>
      <c r="H4" s="270">
        <v>5</v>
      </c>
      <c r="I4" s="320"/>
      <c r="J4" s="39" t="s">
        <v>126</v>
      </c>
      <c r="K4" s="319">
        <v>10.5</v>
      </c>
      <c r="L4" s="318">
        <v>28</v>
      </c>
      <c r="M4" s="51">
        <f>K4/L4</f>
        <v>0.375</v>
      </c>
      <c r="N4" s="39" t="s">
        <v>58</v>
      </c>
      <c r="O4" s="39" t="s">
        <v>76</v>
      </c>
      <c r="P4" s="21" t="s">
        <v>12</v>
      </c>
      <c r="Q4" s="134">
        <f>IF(G18=H18,"","Введите дату рождения")</f>
      </c>
      <c r="R4" s="271">
        <f>Отчет!$Q$4</f>
        <v>937015</v>
      </c>
    </row>
    <row r="5" spans="1:18" ht="12.75">
      <c r="A5" s="42">
        <v>4</v>
      </c>
      <c r="B5" s="6" t="s">
        <v>525</v>
      </c>
      <c r="C5" s="6" t="s">
        <v>413</v>
      </c>
      <c r="D5" s="6" t="s">
        <v>401</v>
      </c>
      <c r="E5" s="321" t="s">
        <v>99</v>
      </c>
      <c r="F5" s="39" t="s">
        <v>352</v>
      </c>
      <c r="G5" s="176">
        <v>5</v>
      </c>
      <c r="H5" s="270">
        <v>5</v>
      </c>
      <c r="I5" s="320"/>
      <c r="J5" s="39" t="s">
        <v>126</v>
      </c>
      <c r="K5" s="319">
        <v>5</v>
      </c>
      <c r="L5" s="318">
        <v>28</v>
      </c>
      <c r="M5" s="51">
        <f>K5/L5</f>
        <v>0.17857142857142858</v>
      </c>
      <c r="N5" s="39" t="s">
        <v>58</v>
      </c>
      <c r="O5" s="39" t="s">
        <v>76</v>
      </c>
      <c r="P5" s="21" t="s">
        <v>12</v>
      </c>
      <c r="Q5" s="134">
        <f>IF(G14=H14,"","Введите дату рождения")</f>
      </c>
      <c r="R5" s="271">
        <f>Отчет!$Q$4</f>
        <v>937015</v>
      </c>
    </row>
    <row r="6" spans="1:18" ht="12.75">
      <c r="A6" s="42">
        <v>5</v>
      </c>
      <c r="B6" s="21" t="s">
        <v>566</v>
      </c>
      <c r="C6" s="39" t="s">
        <v>489</v>
      </c>
      <c r="D6" s="39" t="s">
        <v>448</v>
      </c>
      <c r="E6" s="42" t="s">
        <v>98</v>
      </c>
      <c r="F6" s="39" t="s">
        <v>153</v>
      </c>
      <c r="G6" s="176">
        <v>7</v>
      </c>
      <c r="H6" s="270">
        <v>7</v>
      </c>
      <c r="I6" s="39"/>
      <c r="J6" s="39" t="s">
        <v>126</v>
      </c>
      <c r="K6" s="165">
        <v>35</v>
      </c>
      <c r="L6" s="39">
        <v>44</v>
      </c>
      <c r="M6" s="51">
        <f>K6/L6</f>
        <v>0.7954545454545454</v>
      </c>
      <c r="N6" s="39" t="s">
        <v>49</v>
      </c>
      <c r="O6" s="39" t="s">
        <v>76</v>
      </c>
      <c r="P6" s="21" t="s">
        <v>12</v>
      </c>
      <c r="Q6" s="134">
        <f>IF(G15=H15,"","Введите дату рождения")</f>
      </c>
      <c r="R6" s="271">
        <f>Отчет!$Q$4</f>
        <v>937015</v>
      </c>
    </row>
    <row r="7" spans="1:18" ht="12.75">
      <c r="A7" s="42">
        <v>6</v>
      </c>
      <c r="B7" s="21" t="s">
        <v>665</v>
      </c>
      <c r="C7" s="39" t="s">
        <v>419</v>
      </c>
      <c r="D7" s="39" t="s">
        <v>386</v>
      </c>
      <c r="E7" s="42" t="s">
        <v>99</v>
      </c>
      <c r="F7" s="39" t="s">
        <v>153</v>
      </c>
      <c r="G7" s="176">
        <v>7</v>
      </c>
      <c r="H7" s="270">
        <v>7</v>
      </c>
      <c r="I7" s="39"/>
      <c r="J7" s="39" t="s">
        <v>126</v>
      </c>
      <c r="K7" s="165">
        <v>24</v>
      </c>
      <c r="L7" s="39">
        <v>44</v>
      </c>
      <c r="M7" s="51">
        <f>K7/L7</f>
        <v>0.5454545454545454</v>
      </c>
      <c r="N7" s="39" t="s">
        <v>50</v>
      </c>
      <c r="O7" s="39" t="s">
        <v>76</v>
      </c>
      <c r="P7" s="21" t="s">
        <v>12</v>
      </c>
      <c r="Q7" s="134">
        <f>IF(G11=H11,"","Введите дату рождения")</f>
      </c>
      <c r="R7" s="271">
        <f>Отчет!$Q$4</f>
        <v>937015</v>
      </c>
    </row>
    <row r="8" spans="1:18" ht="12.75">
      <c r="A8" s="42">
        <v>7</v>
      </c>
      <c r="B8" s="21" t="s">
        <v>666</v>
      </c>
      <c r="C8" s="39" t="s">
        <v>397</v>
      </c>
      <c r="D8" s="39" t="s">
        <v>386</v>
      </c>
      <c r="E8" s="42" t="s">
        <v>99</v>
      </c>
      <c r="F8" s="39" t="s">
        <v>153</v>
      </c>
      <c r="G8" s="176">
        <v>7</v>
      </c>
      <c r="H8" s="270">
        <v>7</v>
      </c>
      <c r="I8" s="39"/>
      <c r="J8" s="39" t="s">
        <v>126</v>
      </c>
      <c r="K8" s="165">
        <v>22</v>
      </c>
      <c r="L8" s="39">
        <v>44</v>
      </c>
      <c r="M8" s="51">
        <f>K8/L8</f>
        <v>0.5</v>
      </c>
      <c r="N8" s="39" t="s">
        <v>58</v>
      </c>
      <c r="O8" s="39" t="s">
        <v>76</v>
      </c>
      <c r="P8" s="21" t="s">
        <v>12</v>
      </c>
      <c r="Q8" s="134">
        <f>IF(G12=H12,"","Введите дату рождения")</f>
      </c>
      <c r="R8" s="271">
        <f>Отчет!$Q$4</f>
        <v>937015</v>
      </c>
    </row>
    <row r="9" spans="1:18" ht="12.75">
      <c r="A9" s="42">
        <v>8</v>
      </c>
      <c r="B9" s="21" t="s">
        <v>490</v>
      </c>
      <c r="C9" s="39" t="s">
        <v>491</v>
      </c>
      <c r="D9" s="39" t="s">
        <v>386</v>
      </c>
      <c r="E9" s="42" t="s">
        <v>99</v>
      </c>
      <c r="F9" s="39" t="s">
        <v>153</v>
      </c>
      <c r="G9" s="176">
        <v>7</v>
      </c>
      <c r="H9" s="270">
        <v>7</v>
      </c>
      <c r="I9" s="39"/>
      <c r="J9" s="39" t="s">
        <v>126</v>
      </c>
      <c r="K9" s="165">
        <v>12</v>
      </c>
      <c r="L9" s="39">
        <v>44</v>
      </c>
      <c r="M9" s="51">
        <f>K9/L9</f>
        <v>0.2727272727272727</v>
      </c>
      <c r="N9" s="39" t="s">
        <v>58</v>
      </c>
      <c r="O9" s="39" t="s">
        <v>76</v>
      </c>
      <c r="P9" s="21" t="s">
        <v>12</v>
      </c>
      <c r="Q9" s="134">
        <f>IF(G13=H13,"","Введите дату рождения")</f>
      </c>
      <c r="R9" s="271">
        <f>Отчет!$Q$4</f>
        <v>937015</v>
      </c>
    </row>
    <row r="10" spans="1:18" ht="12.75">
      <c r="A10" s="42">
        <v>9</v>
      </c>
      <c r="B10" s="19" t="s">
        <v>494</v>
      </c>
      <c r="C10" s="19" t="s">
        <v>495</v>
      </c>
      <c r="D10" s="19" t="s">
        <v>437</v>
      </c>
      <c r="E10" s="42" t="s">
        <v>98</v>
      </c>
      <c r="F10" s="39" t="s">
        <v>153</v>
      </c>
      <c r="G10" s="176">
        <v>7</v>
      </c>
      <c r="H10" s="270">
        <v>7</v>
      </c>
      <c r="I10" s="39"/>
      <c r="J10" s="39" t="s">
        <v>126</v>
      </c>
      <c r="K10" s="165">
        <v>9</v>
      </c>
      <c r="L10" s="39">
        <v>44</v>
      </c>
      <c r="M10" s="51">
        <f>K10/L10</f>
        <v>0.20454545454545456</v>
      </c>
      <c r="N10" s="39" t="s">
        <v>58</v>
      </c>
      <c r="O10" s="39" t="s">
        <v>76</v>
      </c>
      <c r="P10" s="21" t="s">
        <v>12</v>
      </c>
      <c r="Q10" s="134">
        <f>IF(G14=H14,"","Введите дату рождения")</f>
      </c>
      <c r="R10" s="271">
        <f>Отчет!$Q$4</f>
        <v>937015</v>
      </c>
    </row>
    <row r="11" spans="1:18" ht="12.75">
      <c r="A11" s="42">
        <v>10</v>
      </c>
      <c r="B11" s="21" t="s">
        <v>664</v>
      </c>
      <c r="C11" s="39" t="s">
        <v>390</v>
      </c>
      <c r="D11" s="39" t="s">
        <v>378</v>
      </c>
      <c r="E11" s="42" t="s">
        <v>99</v>
      </c>
      <c r="F11" s="39" t="s">
        <v>153</v>
      </c>
      <c r="G11" s="176">
        <v>9</v>
      </c>
      <c r="H11" s="270">
        <v>9</v>
      </c>
      <c r="I11" s="39"/>
      <c r="J11" s="39" t="s">
        <v>126</v>
      </c>
      <c r="K11" s="165">
        <v>30</v>
      </c>
      <c r="L11" s="39">
        <v>70</v>
      </c>
      <c r="M11" s="51">
        <f>K11/L11</f>
        <v>0.42857142857142855</v>
      </c>
      <c r="N11" s="39" t="s">
        <v>50</v>
      </c>
      <c r="O11" s="39" t="s">
        <v>76</v>
      </c>
      <c r="P11" s="21" t="s">
        <v>12</v>
      </c>
      <c r="Q11" s="134">
        <f>IF(G6=H6,"","Введите дату рождения")</f>
      </c>
      <c r="R11" s="271">
        <f>Отчет!$Q$4</f>
        <v>937015</v>
      </c>
    </row>
    <row r="12" spans="1:18" ht="12.75">
      <c r="A12" s="42">
        <v>11</v>
      </c>
      <c r="B12" s="21" t="s">
        <v>376</v>
      </c>
      <c r="C12" s="39" t="s">
        <v>377</v>
      </c>
      <c r="D12" s="39" t="s">
        <v>378</v>
      </c>
      <c r="E12" s="42" t="s">
        <v>99</v>
      </c>
      <c r="F12" s="39" t="s">
        <v>153</v>
      </c>
      <c r="G12" s="176">
        <v>9</v>
      </c>
      <c r="H12" s="270">
        <v>9</v>
      </c>
      <c r="I12" s="39"/>
      <c r="J12" s="39" t="s">
        <v>126</v>
      </c>
      <c r="K12" s="165">
        <v>26</v>
      </c>
      <c r="L12" s="39">
        <v>70</v>
      </c>
      <c r="M12" s="51">
        <f>K12/L12</f>
        <v>0.37142857142857144</v>
      </c>
      <c r="N12" s="39" t="s">
        <v>58</v>
      </c>
      <c r="O12" s="39" t="s">
        <v>76</v>
      </c>
      <c r="P12" s="21" t="s">
        <v>12</v>
      </c>
      <c r="Q12" s="134">
        <f>IF(G7=H7,"","Введите дату рождения")</f>
      </c>
      <c r="R12" s="271">
        <f>Отчет!$Q$4</f>
        <v>937015</v>
      </c>
    </row>
    <row r="13" spans="1:18" ht="12.75">
      <c r="A13" s="42">
        <v>12</v>
      </c>
      <c r="B13" s="21" t="s">
        <v>625</v>
      </c>
      <c r="C13" s="39" t="s">
        <v>520</v>
      </c>
      <c r="D13" s="39" t="s">
        <v>437</v>
      </c>
      <c r="E13" s="42" t="s">
        <v>98</v>
      </c>
      <c r="F13" s="39" t="s">
        <v>153</v>
      </c>
      <c r="G13" s="176">
        <v>9</v>
      </c>
      <c r="H13" s="270">
        <v>9</v>
      </c>
      <c r="I13" s="39"/>
      <c r="J13" s="39" t="s">
        <v>126</v>
      </c>
      <c r="K13" s="165">
        <v>11</v>
      </c>
      <c r="L13" s="39">
        <v>70</v>
      </c>
      <c r="M13" s="51">
        <f>K13/L13</f>
        <v>0.15714285714285714</v>
      </c>
      <c r="N13" s="39" t="s">
        <v>58</v>
      </c>
      <c r="O13" s="39" t="s">
        <v>76</v>
      </c>
      <c r="P13" s="21" t="s">
        <v>12</v>
      </c>
      <c r="Q13" s="134">
        <f>IF(G8=H8,"","Введите дату рождения")</f>
      </c>
      <c r="R13" s="271">
        <f>Отчет!$Q$4</f>
        <v>937015</v>
      </c>
    </row>
    <row r="14" spans="1:18" ht="12.75">
      <c r="A14" s="42">
        <v>13</v>
      </c>
      <c r="B14" s="21" t="s">
        <v>662</v>
      </c>
      <c r="C14" s="39" t="s">
        <v>663</v>
      </c>
      <c r="D14" s="39" t="s">
        <v>386</v>
      </c>
      <c r="E14" s="42" t="s">
        <v>99</v>
      </c>
      <c r="F14" s="39" t="s">
        <v>153</v>
      </c>
      <c r="G14" s="176">
        <v>10</v>
      </c>
      <c r="H14" s="270">
        <v>10</v>
      </c>
      <c r="I14" s="39"/>
      <c r="J14" s="39" t="s">
        <v>126</v>
      </c>
      <c r="K14" s="165">
        <v>24</v>
      </c>
      <c r="L14" s="39">
        <v>65</v>
      </c>
      <c r="M14" s="51">
        <f>K14/L14</f>
        <v>0.36923076923076925</v>
      </c>
      <c r="N14" s="39" t="s">
        <v>58</v>
      </c>
      <c r="O14" s="39" t="s">
        <v>76</v>
      </c>
      <c r="P14" s="21" t="s">
        <v>12</v>
      </c>
      <c r="Q14" s="134">
        <f>IF(G9=H9,"","Введите дату рождения")</f>
      </c>
      <c r="R14" s="271">
        <f>Отчет!$Q$4</f>
        <v>937015</v>
      </c>
    </row>
    <row r="15" spans="1:18" ht="12.75">
      <c r="A15" s="42">
        <v>14</v>
      </c>
      <c r="B15" s="21" t="s">
        <v>634</v>
      </c>
      <c r="C15" s="39" t="s">
        <v>487</v>
      </c>
      <c r="D15" s="39" t="s">
        <v>378</v>
      </c>
      <c r="E15" s="42" t="s">
        <v>99</v>
      </c>
      <c r="F15" s="39" t="s">
        <v>153</v>
      </c>
      <c r="G15" s="176">
        <v>10</v>
      </c>
      <c r="H15" s="270">
        <v>10</v>
      </c>
      <c r="I15" s="39"/>
      <c r="J15" s="39" t="s">
        <v>126</v>
      </c>
      <c r="K15" s="165">
        <v>22.5</v>
      </c>
      <c r="L15" s="39">
        <v>65</v>
      </c>
      <c r="M15" s="51">
        <f>K15/L15</f>
        <v>0.34615384615384615</v>
      </c>
      <c r="N15" s="39" t="s">
        <v>58</v>
      </c>
      <c r="O15" s="39" t="s">
        <v>76</v>
      </c>
      <c r="P15" s="21" t="s">
        <v>12</v>
      </c>
      <c r="Q15" s="134">
        <f>IF(G11=H11,"","Введите дату рождения")</f>
      </c>
      <c r="R15" s="271">
        <f>Отчет!$Q$4</f>
        <v>937015</v>
      </c>
    </row>
    <row r="16" spans="1:18" ht="12.75">
      <c r="A16" s="42">
        <v>15</v>
      </c>
      <c r="B16" s="39" t="s">
        <v>375</v>
      </c>
      <c r="C16" s="39" t="s">
        <v>370</v>
      </c>
      <c r="D16" s="39" t="s">
        <v>371</v>
      </c>
      <c r="E16" s="42" t="s">
        <v>99</v>
      </c>
      <c r="F16" s="39" t="s">
        <v>153</v>
      </c>
      <c r="G16" s="176">
        <v>11</v>
      </c>
      <c r="H16" s="270">
        <v>11</v>
      </c>
      <c r="I16" s="39"/>
      <c r="J16" s="39" t="s">
        <v>126</v>
      </c>
      <c r="K16" s="165">
        <v>43</v>
      </c>
      <c r="L16" s="39">
        <v>77.5</v>
      </c>
      <c r="M16" s="51">
        <f>K16/L16</f>
        <v>0.5548387096774193</v>
      </c>
      <c r="N16" s="39" t="s">
        <v>50</v>
      </c>
      <c r="O16" s="39" t="s">
        <v>76</v>
      </c>
      <c r="P16" s="21" t="s">
        <v>12</v>
      </c>
      <c r="Q16" s="134">
        <f>IF(G12=H12,"","Введите дату рождения")</f>
      </c>
      <c r="R16" s="271">
        <f>Отчет!$Q$4</f>
        <v>937015</v>
      </c>
    </row>
    <row r="17" spans="1:18" ht="12.75">
      <c r="A17" s="42">
        <v>16</v>
      </c>
      <c r="B17" s="39" t="s">
        <v>661</v>
      </c>
      <c r="C17" s="39" t="s">
        <v>373</v>
      </c>
      <c r="D17" s="39" t="s">
        <v>374</v>
      </c>
      <c r="E17" s="42" t="s">
        <v>99</v>
      </c>
      <c r="F17" s="39" t="s">
        <v>153</v>
      </c>
      <c r="G17" s="176">
        <v>11</v>
      </c>
      <c r="H17" s="270">
        <v>11</v>
      </c>
      <c r="I17" s="39"/>
      <c r="J17" s="39" t="s">
        <v>126</v>
      </c>
      <c r="K17" s="165">
        <v>26</v>
      </c>
      <c r="L17" s="39">
        <v>77.5</v>
      </c>
      <c r="M17" s="51">
        <f>K17/L17</f>
        <v>0.33548387096774196</v>
      </c>
      <c r="N17" s="39" t="s">
        <v>58</v>
      </c>
      <c r="O17" s="39" t="s">
        <v>76</v>
      </c>
      <c r="P17" s="21" t="s">
        <v>12</v>
      </c>
      <c r="Q17" s="134">
        <f>IF(G13=H13,"","Введите дату рождения")</f>
      </c>
      <c r="R17" s="271">
        <f>Отчет!$Q$4</f>
        <v>937015</v>
      </c>
    </row>
    <row r="18" spans="1:18" ht="12.75">
      <c r="A18" s="3"/>
      <c r="B18" s="21" t="s">
        <v>601</v>
      </c>
      <c r="C18" s="39" t="s">
        <v>388</v>
      </c>
      <c r="D18" s="39" t="s">
        <v>386</v>
      </c>
      <c r="E18" s="42" t="s">
        <v>99</v>
      </c>
      <c r="F18" s="39" t="s">
        <v>153</v>
      </c>
      <c r="G18" s="176">
        <v>11</v>
      </c>
      <c r="H18" s="270">
        <v>11</v>
      </c>
      <c r="I18" s="39"/>
      <c r="J18" s="39" t="s">
        <v>126</v>
      </c>
      <c r="K18" s="165">
        <v>22.5</v>
      </c>
      <c r="L18" s="39">
        <v>77.5</v>
      </c>
      <c r="M18" s="51">
        <f>K18/L18</f>
        <v>0.2903225806451613</v>
      </c>
      <c r="N18" s="39" t="s">
        <v>58</v>
      </c>
      <c r="O18" s="39" t="s">
        <v>76</v>
      </c>
      <c r="P18" s="21" t="s">
        <v>12</v>
      </c>
      <c r="Q18" s="134">
        <f>IF(G14=H14,"","Введите дату рождения")</f>
      </c>
      <c r="R18" s="271">
        <f>Отчет!$Q$4</f>
        <v>937015</v>
      </c>
    </row>
    <row r="19" spans="1:18" ht="12.75">
      <c r="A19" s="106"/>
      <c r="O19" s="39"/>
      <c r="P19" s="105"/>
      <c r="Q19" s="134"/>
      <c r="R19" s="271"/>
    </row>
    <row r="20" spans="1:18" ht="12.75">
      <c r="A20" s="3"/>
      <c r="O20" s="39"/>
      <c r="P20" s="21"/>
      <c r="Q20" s="134"/>
      <c r="R20" s="271"/>
    </row>
    <row r="21" spans="1:16" ht="12.75">
      <c r="A21" s="69"/>
      <c r="O21" s="164"/>
      <c r="P21" s="25"/>
    </row>
    <row r="22" spans="1:16" ht="12.75">
      <c r="A22" s="69"/>
      <c r="O22" s="164"/>
      <c r="P22" s="25"/>
    </row>
    <row r="23" spans="1:16" ht="12.75">
      <c r="A23" s="69"/>
      <c r="O23" s="164"/>
      <c r="P23" s="25"/>
    </row>
    <row r="24" spans="1:16" ht="12.75">
      <c r="A24" s="69"/>
      <c r="O24" s="164"/>
      <c r="P24" s="25"/>
    </row>
    <row r="25" spans="1:16" ht="12.75">
      <c r="A25" s="69"/>
      <c r="B25" s="74"/>
      <c r="C25" s="74"/>
      <c r="D25" s="74"/>
      <c r="E25" s="81"/>
      <c r="F25" s="73"/>
      <c r="G25" s="74"/>
      <c r="H25" s="74"/>
      <c r="I25" s="82"/>
      <c r="J25" s="73"/>
      <c r="K25" s="82"/>
      <c r="L25" s="74"/>
      <c r="M25" s="83"/>
      <c r="N25" s="74"/>
      <c r="O25" s="164"/>
      <c r="P25" s="25"/>
    </row>
    <row r="26" spans="1:16" ht="12.75">
      <c r="A26" s="69"/>
      <c r="B26" s="74"/>
      <c r="C26" s="74"/>
      <c r="D26" s="74"/>
      <c r="E26" s="81"/>
      <c r="F26" s="73"/>
      <c r="G26" s="74"/>
      <c r="H26" s="74"/>
      <c r="I26" s="82"/>
      <c r="J26" s="73"/>
      <c r="K26" s="82"/>
      <c r="L26" s="74"/>
      <c r="M26" s="83"/>
      <c r="N26" s="74"/>
      <c r="O26" s="164"/>
      <c r="P26" s="25"/>
    </row>
    <row r="27" spans="1:16" ht="12.75">
      <c r="A27" s="69"/>
      <c r="B27" s="74"/>
      <c r="C27" s="74"/>
      <c r="D27" s="74"/>
      <c r="E27" s="81"/>
      <c r="F27" s="73"/>
      <c r="G27" s="74"/>
      <c r="H27" s="74"/>
      <c r="I27" s="82"/>
      <c r="J27" s="73"/>
      <c r="K27" s="82"/>
      <c r="L27" s="74"/>
      <c r="M27" s="83"/>
      <c r="N27" s="74"/>
      <c r="O27" s="164"/>
      <c r="P27" s="25"/>
    </row>
    <row r="28" spans="1:16" ht="12.75">
      <c r="A28" s="69"/>
      <c r="B28" s="74"/>
      <c r="C28" s="74"/>
      <c r="D28" s="74"/>
      <c r="E28" s="81"/>
      <c r="F28" s="73"/>
      <c r="G28" s="74"/>
      <c r="H28" s="74"/>
      <c r="I28" s="82"/>
      <c r="J28" s="73"/>
      <c r="K28" s="82"/>
      <c r="L28" s="74"/>
      <c r="M28" s="83"/>
      <c r="N28" s="74"/>
      <c r="O28" s="164"/>
      <c r="P28" s="25"/>
    </row>
    <row r="29" spans="1:16" ht="12.75">
      <c r="A29" s="69"/>
      <c r="B29" s="74"/>
      <c r="C29" s="74"/>
      <c r="D29" s="74"/>
      <c r="E29" s="81"/>
      <c r="F29" s="73"/>
      <c r="G29" s="74"/>
      <c r="H29" s="74"/>
      <c r="I29" s="82"/>
      <c r="J29" s="73"/>
      <c r="K29" s="82"/>
      <c r="L29" s="74"/>
      <c r="M29" s="83"/>
      <c r="N29" s="74"/>
      <c r="O29" s="164"/>
      <c r="P29" s="25"/>
    </row>
    <row r="30" spans="1:16" ht="12.75">
      <c r="A30" s="69"/>
      <c r="B30" s="74"/>
      <c r="C30" s="74"/>
      <c r="D30" s="74"/>
      <c r="E30" s="81"/>
      <c r="F30" s="73"/>
      <c r="G30" s="74"/>
      <c r="H30" s="74"/>
      <c r="I30" s="82"/>
      <c r="J30" s="73"/>
      <c r="K30" s="82"/>
      <c r="L30" s="74"/>
      <c r="M30" s="83"/>
      <c r="N30" s="74"/>
      <c r="O30" s="164"/>
      <c r="P30" s="25"/>
    </row>
    <row r="31" spans="1:16" ht="12.75">
      <c r="A31" s="69"/>
      <c r="B31" s="74"/>
      <c r="C31" s="74"/>
      <c r="D31" s="74"/>
      <c r="E31" s="81"/>
      <c r="F31" s="73"/>
      <c r="G31" s="74"/>
      <c r="H31" s="74"/>
      <c r="I31" s="82"/>
      <c r="J31" s="73"/>
      <c r="K31" s="82"/>
      <c r="L31" s="74"/>
      <c r="M31" s="83"/>
      <c r="N31" s="74"/>
      <c r="O31" s="164"/>
      <c r="P31" s="25"/>
    </row>
    <row r="32" spans="1:16" ht="12.75">
      <c r="A32" s="69"/>
      <c r="B32" s="74"/>
      <c r="C32" s="74"/>
      <c r="D32" s="74"/>
      <c r="E32" s="81"/>
      <c r="F32" s="73"/>
      <c r="G32" s="74"/>
      <c r="H32" s="74"/>
      <c r="I32" s="82"/>
      <c r="J32" s="73"/>
      <c r="K32" s="82"/>
      <c r="L32" s="74"/>
      <c r="M32" s="83"/>
      <c r="N32" s="74"/>
      <c r="O32" s="164"/>
      <c r="P32" s="25"/>
    </row>
    <row r="33" spans="1:16" ht="12.75">
      <c r="A33" s="69"/>
      <c r="B33" s="74"/>
      <c r="C33" s="74"/>
      <c r="D33" s="74"/>
      <c r="E33" s="81"/>
      <c r="F33" s="73"/>
      <c r="G33" s="74"/>
      <c r="H33" s="74"/>
      <c r="I33" s="82"/>
      <c r="J33" s="73"/>
      <c r="K33" s="82"/>
      <c r="L33" s="74"/>
      <c r="M33" s="83"/>
      <c r="N33" s="74"/>
      <c r="O33" s="164"/>
      <c r="P33" s="25"/>
    </row>
    <row r="34" spans="3:16" ht="12.75">
      <c r="C34" s="74"/>
      <c r="D34" s="74"/>
      <c r="E34" s="81"/>
      <c r="F34" s="73"/>
      <c r="G34" s="74"/>
      <c r="H34" s="74"/>
      <c r="I34" s="82"/>
      <c r="J34" s="73"/>
      <c r="K34" s="82"/>
      <c r="L34" s="74"/>
      <c r="M34" s="83"/>
      <c r="N34" s="74"/>
      <c r="O34" s="164"/>
      <c r="P34" s="25"/>
    </row>
    <row r="35" spans="3:16" ht="12.75">
      <c r="C35" s="74"/>
      <c r="D35" s="74"/>
      <c r="E35" s="81"/>
      <c r="F35" s="73"/>
      <c r="G35" s="74"/>
      <c r="H35" s="74"/>
      <c r="I35" s="82"/>
      <c r="J35" s="73"/>
      <c r="K35" s="82"/>
      <c r="L35" s="74"/>
      <c r="M35" s="83"/>
      <c r="N35" s="74"/>
      <c r="O35" s="164"/>
      <c r="P35" s="25"/>
    </row>
    <row r="36" spans="3:16" ht="12.75">
      <c r="C36" s="74"/>
      <c r="D36" s="74"/>
      <c r="E36" s="81"/>
      <c r="F36" s="73"/>
      <c r="G36" s="74"/>
      <c r="H36" s="74"/>
      <c r="I36" s="82"/>
      <c r="J36" s="73"/>
      <c r="K36" s="82"/>
      <c r="L36" s="74"/>
      <c r="M36" s="83"/>
      <c r="N36" s="74"/>
      <c r="O36" s="164"/>
      <c r="P36" s="25"/>
    </row>
    <row r="37" spans="3:16" ht="12.75">
      <c r="C37" s="74"/>
      <c r="D37" s="74"/>
      <c r="E37" s="81"/>
      <c r="F37" s="73"/>
      <c r="G37" s="74"/>
      <c r="H37" s="74"/>
      <c r="I37" s="82"/>
      <c r="J37" s="73"/>
      <c r="K37" s="82"/>
      <c r="L37" s="74"/>
      <c r="M37" s="83"/>
      <c r="N37" s="74"/>
      <c r="O37" s="164"/>
      <c r="P37" s="25"/>
    </row>
    <row r="38" spans="3:16" ht="12.75">
      <c r="C38" s="74"/>
      <c r="D38" s="74"/>
      <c r="E38" s="81"/>
      <c r="F38" s="73"/>
      <c r="G38" s="74"/>
      <c r="H38" s="74"/>
      <c r="I38" s="82"/>
      <c r="J38" s="73"/>
      <c r="K38" s="82"/>
      <c r="L38" s="74"/>
      <c r="M38" s="83"/>
      <c r="N38" s="74"/>
      <c r="O38" s="164"/>
      <c r="P38" s="25"/>
    </row>
    <row r="39" spans="3:16" ht="12.75">
      <c r="C39" s="74"/>
      <c r="D39" s="74"/>
      <c r="E39" s="81"/>
      <c r="F39" s="73"/>
      <c r="G39" s="74"/>
      <c r="H39" s="74"/>
      <c r="I39" s="82"/>
      <c r="J39" s="73"/>
      <c r="K39" s="82"/>
      <c r="L39" s="74"/>
      <c r="M39" s="83"/>
      <c r="N39" s="74"/>
      <c r="O39" s="164"/>
      <c r="P39" s="25"/>
    </row>
    <row r="40" spans="3:16" ht="12.75">
      <c r="C40" s="74"/>
      <c r="D40" s="74"/>
      <c r="E40" s="81"/>
      <c r="F40" s="73"/>
      <c r="G40" s="74"/>
      <c r="H40" s="74"/>
      <c r="I40" s="82"/>
      <c r="J40" s="73"/>
      <c r="K40" s="82"/>
      <c r="L40" s="74"/>
      <c r="M40" s="83"/>
      <c r="N40" s="74"/>
      <c r="O40" s="164"/>
      <c r="P40" s="25"/>
    </row>
    <row r="41" spans="3:16" ht="12.75">
      <c r="C41" s="74"/>
      <c r="D41" s="74"/>
      <c r="E41" s="81"/>
      <c r="F41" s="73"/>
      <c r="G41" s="74"/>
      <c r="H41" s="74"/>
      <c r="I41" s="82"/>
      <c r="J41" s="73"/>
      <c r="K41" s="82"/>
      <c r="L41" s="74"/>
      <c r="M41" s="83"/>
      <c r="N41" s="74"/>
      <c r="O41" s="164"/>
      <c r="P41" s="25"/>
    </row>
    <row r="42" spans="3:16" ht="12.75">
      <c r="C42" s="74"/>
      <c r="D42" s="74"/>
      <c r="E42" s="81"/>
      <c r="F42" s="73"/>
      <c r="G42" s="74"/>
      <c r="H42" s="74"/>
      <c r="I42" s="82"/>
      <c r="J42" s="73"/>
      <c r="K42" s="82"/>
      <c r="L42" s="74"/>
      <c r="M42" s="83"/>
      <c r="N42" s="74"/>
      <c r="O42" s="164"/>
      <c r="P42" s="25"/>
    </row>
    <row r="43" spans="3:16" ht="12.75">
      <c r="C43" s="74"/>
      <c r="D43" s="74"/>
      <c r="E43" s="81"/>
      <c r="F43" s="73"/>
      <c r="G43" s="74"/>
      <c r="H43" s="74"/>
      <c r="I43" s="82"/>
      <c r="J43" s="73"/>
      <c r="K43" s="82"/>
      <c r="L43" s="74"/>
      <c r="M43" s="83"/>
      <c r="N43" s="74"/>
      <c r="O43" s="164"/>
      <c r="P43" s="25"/>
    </row>
    <row r="44" spans="3:16" ht="12.75">
      <c r="C44" s="74"/>
      <c r="D44" s="74"/>
      <c r="E44" s="81"/>
      <c r="F44" s="73"/>
      <c r="G44" s="74"/>
      <c r="H44" s="74"/>
      <c r="I44" s="82"/>
      <c r="J44" s="73"/>
      <c r="K44" s="82"/>
      <c r="L44" s="74"/>
      <c r="M44" s="83"/>
      <c r="N44" s="74"/>
      <c r="O44" s="164"/>
      <c r="P44" s="25"/>
    </row>
    <row r="45" spans="3:16" ht="12.75">
      <c r="C45" s="74"/>
      <c r="D45" s="74"/>
      <c r="E45" s="81"/>
      <c r="F45" s="73"/>
      <c r="G45" s="74"/>
      <c r="H45" s="74"/>
      <c r="I45" s="82"/>
      <c r="J45" s="73"/>
      <c r="K45" s="82"/>
      <c r="L45" s="74"/>
      <c r="M45" s="83"/>
      <c r="N45" s="74"/>
      <c r="O45" s="164"/>
      <c r="P45" s="25"/>
    </row>
    <row r="46" spans="3:16" ht="12.75">
      <c r="C46" s="74"/>
      <c r="D46" s="74"/>
      <c r="E46" s="81"/>
      <c r="F46" s="73"/>
      <c r="G46" s="74"/>
      <c r="H46" s="74"/>
      <c r="I46" s="82"/>
      <c r="J46" s="73"/>
      <c r="K46" s="82"/>
      <c r="L46" s="74"/>
      <c r="M46" s="83"/>
      <c r="N46" s="74"/>
      <c r="O46" s="164"/>
      <c r="P46" s="25"/>
    </row>
    <row r="47" spans="3:16" ht="12.75">
      <c r="C47" s="74"/>
      <c r="D47" s="74"/>
      <c r="E47" s="81"/>
      <c r="F47" s="73"/>
      <c r="G47" s="74"/>
      <c r="H47" s="74"/>
      <c r="I47" s="82"/>
      <c r="J47" s="73"/>
      <c r="K47" s="82"/>
      <c r="L47" s="74"/>
      <c r="M47" s="83"/>
      <c r="N47" s="74"/>
      <c r="O47" s="164"/>
      <c r="P47" s="25"/>
    </row>
    <row r="48" spans="3:16" ht="12.75">
      <c r="C48" s="74"/>
      <c r="D48" s="74"/>
      <c r="E48" s="81"/>
      <c r="F48" s="73"/>
      <c r="G48" s="74"/>
      <c r="H48" s="74"/>
      <c r="I48" s="82"/>
      <c r="J48" s="73"/>
      <c r="K48" s="82"/>
      <c r="L48" s="74"/>
      <c r="M48" s="83"/>
      <c r="N48" s="74"/>
      <c r="O48" s="164"/>
      <c r="P48" s="25"/>
    </row>
    <row r="49" spans="3:16" ht="12.75">
      <c r="C49" s="74"/>
      <c r="D49" s="74"/>
      <c r="E49" s="81"/>
      <c r="F49" s="73"/>
      <c r="G49" s="74"/>
      <c r="H49" s="74"/>
      <c r="I49" s="82"/>
      <c r="J49" s="73"/>
      <c r="K49" s="82"/>
      <c r="L49" s="74"/>
      <c r="M49" s="83"/>
      <c r="N49" s="74"/>
      <c r="O49" s="164"/>
      <c r="P49" s="25"/>
    </row>
    <row r="50" spans="3:16" ht="12.75">
      <c r="C50" s="74"/>
      <c r="D50" s="74"/>
      <c r="E50" s="81"/>
      <c r="F50" s="73"/>
      <c r="G50" s="74"/>
      <c r="H50" s="74"/>
      <c r="I50" s="82"/>
      <c r="J50" s="73"/>
      <c r="K50" s="82"/>
      <c r="L50" s="74"/>
      <c r="M50" s="83"/>
      <c r="N50" s="74"/>
      <c r="O50" s="164"/>
      <c r="P50" s="25"/>
    </row>
    <row r="51" ht="12.75">
      <c r="J51" s="73"/>
    </row>
    <row r="52" ht="12.75">
      <c r="J52" s="73"/>
    </row>
  </sheetData>
  <sheetProtection formatCells="0" sort="0" autoFilter="0" pivotTables="0"/>
  <autoFilter ref="A1:P10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5:N50 N2:N18">
      <formula1>Статус</formula1>
    </dataValidation>
    <dataValidation type="list" allowBlank="1" showInputMessage="1" showErrorMessage="1" sqref="E25:E50 E2:E18">
      <formula1>Пол</formula1>
    </dataValidation>
    <dataValidation type="list" allowBlank="1" showInputMessage="1" showErrorMessage="1" sqref="I25:I50 I2:I18">
      <formula1>Специализированные_классы</formula1>
    </dataValidation>
    <dataValidation type="list" allowBlank="1" showInputMessage="1" showErrorMessage="1" sqref="F25:F50 F2:F18">
      <formula1>ОУ</formula1>
    </dataValidation>
    <dataValidation type="list" allowBlank="1" showInputMessage="1" showErrorMessage="1" sqref="J25:J50 J2:J18">
      <formula1>ОВЗ</formula1>
    </dataValidation>
    <dataValidation type="list" allowBlank="1" showInputMessage="1" showErrorMessage="1" sqref="O2:O5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49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5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47" t="s">
        <v>4</v>
      </c>
      <c r="L1" s="4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8">
        <f>IF(COUNTIF(Q1:Q1000,"Введите дату рождения")&lt;&gt;0,"1","")</f>
      </c>
    </row>
    <row r="2" spans="1:18" ht="12.75">
      <c r="A2" s="42">
        <v>1</v>
      </c>
      <c r="B2" s="43" t="s">
        <v>572</v>
      </c>
      <c r="C2" s="43" t="s">
        <v>568</v>
      </c>
      <c r="D2" s="43" t="s">
        <v>573</v>
      </c>
      <c r="E2" s="43" t="s">
        <v>392</v>
      </c>
      <c r="F2" s="3" t="s">
        <v>677</v>
      </c>
      <c r="G2" s="43">
        <v>7</v>
      </c>
      <c r="H2" s="270">
        <f aca="true" t="shared" si="0" ref="H2:H20">G2</f>
        <v>7</v>
      </c>
      <c r="I2" s="39"/>
      <c r="J2" s="39" t="s">
        <v>126</v>
      </c>
      <c r="K2" s="5">
        <v>30</v>
      </c>
      <c r="L2" s="316">
        <v>65</v>
      </c>
      <c r="M2" s="4">
        <f aca="true" t="shared" si="1" ref="M2:M9">K2/L2</f>
        <v>0.46153846153846156</v>
      </c>
      <c r="N2" s="37" t="s">
        <v>58</v>
      </c>
      <c r="O2" s="39" t="s">
        <v>76</v>
      </c>
      <c r="P2" s="21" t="s">
        <v>24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>
        <v>2</v>
      </c>
      <c r="B3" s="3" t="s">
        <v>492</v>
      </c>
      <c r="C3" s="3" t="s">
        <v>377</v>
      </c>
      <c r="D3" s="3" t="s">
        <v>480</v>
      </c>
      <c r="E3" s="39" t="s">
        <v>392</v>
      </c>
      <c r="F3" s="3" t="s">
        <v>677</v>
      </c>
      <c r="G3" s="12">
        <v>7</v>
      </c>
      <c r="H3" s="270">
        <f t="shared" si="0"/>
        <v>7</v>
      </c>
      <c r="I3" s="39"/>
      <c r="J3" s="39" t="s">
        <v>126</v>
      </c>
      <c r="K3" s="5">
        <v>25</v>
      </c>
      <c r="L3" s="316">
        <v>65</v>
      </c>
      <c r="M3" s="4">
        <f t="shared" si="1"/>
        <v>0.38461538461538464</v>
      </c>
      <c r="N3" s="37" t="s">
        <v>58</v>
      </c>
      <c r="O3" s="39" t="s">
        <v>76</v>
      </c>
      <c r="P3" s="21" t="s">
        <v>24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>
      <c r="A4" s="42">
        <v>3</v>
      </c>
      <c r="B4" s="3" t="s">
        <v>678</v>
      </c>
      <c r="C4" s="3" t="s">
        <v>679</v>
      </c>
      <c r="D4" s="3" t="s">
        <v>680</v>
      </c>
      <c r="E4" s="39" t="s">
        <v>402</v>
      </c>
      <c r="F4" s="3" t="s">
        <v>677</v>
      </c>
      <c r="G4" s="12">
        <v>7</v>
      </c>
      <c r="H4" s="270">
        <f t="shared" si="0"/>
        <v>7</v>
      </c>
      <c r="I4" s="39"/>
      <c r="J4" s="39" t="s">
        <v>126</v>
      </c>
      <c r="K4" s="5">
        <v>20</v>
      </c>
      <c r="L4" s="316">
        <v>65</v>
      </c>
      <c r="M4" s="4">
        <f t="shared" si="1"/>
        <v>0.3076923076923077</v>
      </c>
      <c r="N4" s="37" t="s">
        <v>58</v>
      </c>
      <c r="O4" s="39" t="s">
        <v>76</v>
      </c>
      <c r="P4" s="21" t="s">
        <v>24</v>
      </c>
      <c r="Q4" s="134">
        <f t="shared" si="2"/>
      </c>
      <c r="R4" s="271">
        <f>Отчет!$Q$4</f>
        <v>937015</v>
      </c>
    </row>
    <row r="5" spans="1:18" ht="12.75">
      <c r="A5" s="42">
        <v>4</v>
      </c>
      <c r="B5" s="3" t="s">
        <v>681</v>
      </c>
      <c r="C5" s="3" t="s">
        <v>592</v>
      </c>
      <c r="D5" s="3" t="s">
        <v>579</v>
      </c>
      <c r="E5" s="39" t="s">
        <v>392</v>
      </c>
      <c r="F5" s="3" t="s">
        <v>677</v>
      </c>
      <c r="G5" s="12">
        <v>9</v>
      </c>
      <c r="H5" s="270">
        <f t="shared" si="0"/>
        <v>9</v>
      </c>
      <c r="I5" s="39"/>
      <c r="J5" s="39" t="s">
        <v>126</v>
      </c>
      <c r="K5" s="5">
        <v>46</v>
      </c>
      <c r="L5" s="316">
        <v>60</v>
      </c>
      <c r="M5" s="4">
        <f t="shared" si="1"/>
        <v>0.7666666666666667</v>
      </c>
      <c r="N5" s="37" t="s">
        <v>49</v>
      </c>
      <c r="O5" s="39" t="s">
        <v>76</v>
      </c>
      <c r="P5" s="21" t="s">
        <v>24</v>
      </c>
      <c r="Q5" s="134">
        <f t="shared" si="2"/>
      </c>
      <c r="R5" s="271">
        <f>Отчет!$Q$4</f>
        <v>937015</v>
      </c>
    </row>
    <row r="6" spans="1:18" ht="12.75">
      <c r="A6" s="42">
        <v>5</v>
      </c>
      <c r="B6" s="3" t="s">
        <v>682</v>
      </c>
      <c r="C6" s="3" t="s">
        <v>683</v>
      </c>
      <c r="D6" s="3" t="s">
        <v>536</v>
      </c>
      <c r="E6" s="39" t="s">
        <v>402</v>
      </c>
      <c r="F6" s="3" t="s">
        <v>677</v>
      </c>
      <c r="G6" s="12">
        <v>9</v>
      </c>
      <c r="H6" s="270">
        <f t="shared" si="0"/>
        <v>9</v>
      </c>
      <c r="I6" s="39"/>
      <c r="J6" s="39" t="s">
        <v>126</v>
      </c>
      <c r="K6" s="5">
        <v>28</v>
      </c>
      <c r="L6" s="316">
        <v>60</v>
      </c>
      <c r="M6" s="4">
        <f t="shared" si="1"/>
        <v>0.4666666666666667</v>
      </c>
      <c r="N6" s="37" t="s">
        <v>50</v>
      </c>
      <c r="O6" s="39" t="s">
        <v>76</v>
      </c>
      <c r="P6" s="21" t="s">
        <v>24</v>
      </c>
      <c r="Q6" s="134">
        <f t="shared" si="2"/>
      </c>
      <c r="R6" s="271">
        <f>Отчет!$Q$4</f>
        <v>937015</v>
      </c>
    </row>
    <row r="7" spans="1:18" ht="12.75">
      <c r="A7" s="42">
        <v>6</v>
      </c>
      <c r="B7" s="3" t="s">
        <v>684</v>
      </c>
      <c r="C7" s="3" t="s">
        <v>685</v>
      </c>
      <c r="D7" s="3" t="s">
        <v>686</v>
      </c>
      <c r="E7" s="39" t="s">
        <v>392</v>
      </c>
      <c r="F7" s="3" t="s">
        <v>677</v>
      </c>
      <c r="G7" s="12">
        <v>9</v>
      </c>
      <c r="H7" s="270">
        <f t="shared" si="0"/>
        <v>9</v>
      </c>
      <c r="I7" s="39"/>
      <c r="J7" s="39" t="s">
        <v>126</v>
      </c>
      <c r="K7" s="5">
        <v>24</v>
      </c>
      <c r="L7" s="316">
        <v>60</v>
      </c>
      <c r="M7" s="4">
        <f t="shared" si="1"/>
        <v>0.4</v>
      </c>
      <c r="N7" s="37" t="s">
        <v>58</v>
      </c>
      <c r="O7" s="39" t="s">
        <v>76</v>
      </c>
      <c r="P7" s="21" t="s">
        <v>24</v>
      </c>
      <c r="Q7" s="134">
        <f t="shared" si="2"/>
      </c>
      <c r="R7" s="271">
        <f>Отчет!$Q$4</f>
        <v>937015</v>
      </c>
    </row>
    <row r="8" spans="1:18" ht="12.75">
      <c r="A8" s="42">
        <v>7</v>
      </c>
      <c r="B8" s="3" t="s">
        <v>687</v>
      </c>
      <c r="C8" s="3" t="s">
        <v>439</v>
      </c>
      <c r="D8" s="3" t="s">
        <v>688</v>
      </c>
      <c r="E8" s="39" t="s">
        <v>392</v>
      </c>
      <c r="F8" s="3" t="s">
        <v>677</v>
      </c>
      <c r="G8" s="12">
        <v>9</v>
      </c>
      <c r="H8" s="270">
        <f t="shared" si="0"/>
        <v>9</v>
      </c>
      <c r="I8" s="39"/>
      <c r="J8" s="39" t="s">
        <v>126</v>
      </c>
      <c r="K8" s="5">
        <v>22</v>
      </c>
      <c r="L8" s="316">
        <v>60</v>
      </c>
      <c r="M8" s="4">
        <f t="shared" si="1"/>
        <v>0.36666666666666664</v>
      </c>
      <c r="N8" s="37" t="s">
        <v>58</v>
      </c>
      <c r="O8" s="39" t="s">
        <v>76</v>
      </c>
      <c r="P8" s="21" t="s">
        <v>24</v>
      </c>
      <c r="Q8" s="134">
        <f t="shared" si="2"/>
      </c>
      <c r="R8" s="271">
        <f>Отчет!$Q$4</f>
        <v>937015</v>
      </c>
    </row>
    <row r="9" spans="1:18" ht="12.75">
      <c r="A9" s="42">
        <v>8</v>
      </c>
      <c r="B9" s="3" t="s">
        <v>423</v>
      </c>
      <c r="C9" s="3" t="s">
        <v>404</v>
      </c>
      <c r="D9" s="3" t="s">
        <v>378</v>
      </c>
      <c r="E9" s="39" t="s">
        <v>392</v>
      </c>
      <c r="F9" s="3" t="s">
        <v>677</v>
      </c>
      <c r="G9" s="12">
        <v>9</v>
      </c>
      <c r="H9" s="270">
        <f t="shared" si="0"/>
        <v>9</v>
      </c>
      <c r="I9" s="39"/>
      <c r="J9" s="39" t="s">
        <v>126</v>
      </c>
      <c r="K9" s="5">
        <v>13</v>
      </c>
      <c r="L9" s="316">
        <v>60</v>
      </c>
      <c r="M9" s="4">
        <f t="shared" si="1"/>
        <v>0.21666666666666667</v>
      </c>
      <c r="N9" s="37" t="s">
        <v>58</v>
      </c>
      <c r="O9" s="39" t="s">
        <v>76</v>
      </c>
      <c r="P9" s="21" t="s">
        <v>24</v>
      </c>
      <c r="Q9" s="134">
        <f t="shared" si="2"/>
      </c>
      <c r="R9" s="271">
        <f>Отчет!$Q$4</f>
        <v>937015</v>
      </c>
    </row>
    <row r="10" spans="1:18" ht="12.75">
      <c r="A10" s="199">
        <v>9</v>
      </c>
      <c r="B10" s="21" t="s">
        <v>647</v>
      </c>
      <c r="C10" s="39" t="s">
        <v>648</v>
      </c>
      <c r="D10" s="39" t="s">
        <v>649</v>
      </c>
      <c r="E10" s="39" t="s">
        <v>392</v>
      </c>
      <c r="F10" s="3" t="s">
        <v>677</v>
      </c>
      <c r="G10" s="12">
        <v>9</v>
      </c>
      <c r="H10" s="270">
        <f>G10</f>
        <v>9</v>
      </c>
      <c r="I10" s="39"/>
      <c r="J10" s="39" t="s">
        <v>126</v>
      </c>
      <c r="K10" s="317">
        <v>13</v>
      </c>
      <c r="L10" s="316">
        <v>60</v>
      </c>
      <c r="M10" s="4">
        <f>K10/L10</f>
        <v>0.21666666666666667</v>
      </c>
      <c r="N10" s="37" t="s">
        <v>58</v>
      </c>
      <c r="O10" s="39" t="s">
        <v>76</v>
      </c>
      <c r="P10" s="21" t="s">
        <v>24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0"/>
        <v>0</v>
      </c>
      <c r="I11" s="39"/>
      <c r="J11" s="39"/>
      <c r="K11" s="165"/>
      <c r="L11" s="39"/>
      <c r="M11" s="4"/>
      <c r="N11" s="39"/>
      <c r="O11" s="39"/>
      <c r="P11" s="21"/>
      <c r="Q11" s="134">
        <f t="shared" si="2"/>
      </c>
      <c r="R11" s="271"/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0"/>
        <v>0</v>
      </c>
      <c r="I12" s="39"/>
      <c r="J12" s="39"/>
      <c r="K12" s="165"/>
      <c r="L12" s="39"/>
      <c r="M12" s="4"/>
      <c r="N12" s="39"/>
      <c r="O12" s="39"/>
      <c r="P12" s="21"/>
      <c r="Q12" s="134">
        <f t="shared" si="2"/>
      </c>
      <c r="R12" s="271"/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0"/>
        <v>0</v>
      </c>
      <c r="I13" s="39"/>
      <c r="J13" s="39"/>
      <c r="K13" s="165"/>
      <c r="L13" s="39"/>
      <c r="M13" s="4"/>
      <c r="N13" s="39"/>
      <c r="O13" s="39"/>
      <c r="P13" s="21"/>
      <c r="Q13" s="134">
        <f t="shared" si="2"/>
      </c>
      <c r="R13" s="271"/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0"/>
        <v>0</v>
      </c>
      <c r="I14" s="39"/>
      <c r="J14" s="39"/>
      <c r="K14" s="165"/>
      <c r="L14" s="39"/>
      <c r="M14" s="4"/>
      <c r="N14" s="39"/>
      <c r="O14" s="39"/>
      <c r="P14" s="21"/>
      <c r="Q14" s="134">
        <f t="shared" si="2"/>
      </c>
      <c r="R14" s="271"/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0"/>
        <v>0</v>
      </c>
      <c r="I15" s="39"/>
      <c r="J15" s="39"/>
      <c r="K15" s="165"/>
      <c r="L15" s="39"/>
      <c r="M15" s="4"/>
      <c r="N15" s="39"/>
      <c r="O15" s="39"/>
      <c r="P15" s="21"/>
      <c r="Q15" s="134">
        <f t="shared" si="2"/>
      </c>
      <c r="R15" s="271"/>
    </row>
    <row r="16" spans="1:18" ht="12.75">
      <c r="A16" s="3"/>
      <c r="B16" s="6"/>
      <c r="C16" s="6"/>
      <c r="D16" s="6"/>
      <c r="E16" s="42"/>
      <c r="F16" s="39"/>
      <c r="G16" s="176"/>
      <c r="H16" s="270">
        <f t="shared" si="0"/>
        <v>0</v>
      </c>
      <c r="I16" s="46"/>
      <c r="J16" s="39"/>
      <c r="K16" s="5"/>
      <c r="L16" s="48"/>
      <c r="M16" s="4"/>
      <c r="N16" s="37"/>
      <c r="O16" s="39"/>
      <c r="P16" s="21"/>
      <c r="Q16" s="134">
        <f t="shared" si="2"/>
      </c>
      <c r="R16" s="271"/>
    </row>
    <row r="17" spans="1:18" ht="12.75">
      <c r="A17" s="3"/>
      <c r="B17" s="6"/>
      <c r="C17" s="6"/>
      <c r="D17" s="6"/>
      <c r="E17" s="42"/>
      <c r="F17" s="39"/>
      <c r="G17" s="176"/>
      <c r="H17" s="270">
        <f t="shared" si="0"/>
        <v>0</v>
      </c>
      <c r="I17" s="46"/>
      <c r="J17" s="39"/>
      <c r="K17" s="5"/>
      <c r="L17" s="48"/>
      <c r="M17" s="4"/>
      <c r="N17" s="37"/>
      <c r="O17" s="39"/>
      <c r="P17" s="21"/>
      <c r="Q17" s="134">
        <f t="shared" si="2"/>
      </c>
      <c r="R17" s="271"/>
    </row>
    <row r="18" spans="1:18" ht="12.75">
      <c r="A18" s="3"/>
      <c r="B18" s="6"/>
      <c r="C18" s="6"/>
      <c r="D18" s="6"/>
      <c r="E18" s="42"/>
      <c r="F18" s="39"/>
      <c r="G18" s="176"/>
      <c r="H18" s="270">
        <f t="shared" si="0"/>
        <v>0</v>
      </c>
      <c r="I18" s="46"/>
      <c r="J18" s="39"/>
      <c r="K18" s="5"/>
      <c r="L18" s="48"/>
      <c r="M18" s="4"/>
      <c r="N18" s="37"/>
      <c r="O18" s="39"/>
      <c r="P18" s="21"/>
      <c r="Q18" s="134">
        <f t="shared" si="2"/>
      </c>
      <c r="R18" s="271"/>
    </row>
    <row r="19" spans="1:18" ht="12.75">
      <c r="A19" s="106"/>
      <c r="B19" s="117"/>
      <c r="C19" s="117"/>
      <c r="D19" s="117"/>
      <c r="E19" s="104"/>
      <c r="F19" s="39"/>
      <c r="G19" s="176"/>
      <c r="H19" s="270">
        <f t="shared" si="0"/>
        <v>0</v>
      </c>
      <c r="I19" s="118"/>
      <c r="J19" s="100"/>
      <c r="K19" s="108"/>
      <c r="L19" s="119"/>
      <c r="M19" s="4"/>
      <c r="N19" s="110"/>
      <c r="O19" s="39"/>
      <c r="P19" s="105"/>
      <c r="Q19" s="134">
        <f t="shared" si="2"/>
      </c>
      <c r="R19" s="271"/>
    </row>
    <row r="20" spans="1:18" ht="12.75">
      <c r="A20" s="3"/>
      <c r="B20" s="6"/>
      <c r="C20" s="6"/>
      <c r="D20" s="6"/>
      <c r="E20" s="42"/>
      <c r="F20" s="39"/>
      <c r="G20" s="176"/>
      <c r="H20" s="270">
        <f t="shared" si="0"/>
        <v>0</v>
      </c>
      <c r="I20" s="46"/>
      <c r="J20" s="39"/>
      <c r="K20" s="163"/>
      <c r="L20" s="6"/>
      <c r="M20" s="4"/>
      <c r="N20" s="3"/>
      <c r="O20" s="39"/>
      <c r="P20" s="21"/>
      <c r="Q20" s="134">
        <f t="shared" si="2"/>
      </c>
      <c r="R20" s="271"/>
    </row>
    <row r="21" spans="1:16" ht="12.75">
      <c r="A21" s="69"/>
      <c r="B21" s="74"/>
      <c r="C21" s="74"/>
      <c r="D21" s="74"/>
      <c r="E21" s="73"/>
      <c r="F21" s="73"/>
      <c r="G21" s="74"/>
      <c r="H21" s="74"/>
      <c r="I21" s="49"/>
      <c r="J21" s="73"/>
      <c r="L21" s="74"/>
      <c r="M21" s="71"/>
      <c r="N21" s="69"/>
      <c r="O21" s="164"/>
      <c r="P21" s="25"/>
    </row>
    <row r="22" spans="1:16" ht="12.75">
      <c r="A22" s="69"/>
      <c r="B22" s="74"/>
      <c r="C22" s="74"/>
      <c r="D22" s="74"/>
      <c r="E22" s="73"/>
      <c r="F22" s="73"/>
      <c r="G22" s="74"/>
      <c r="H22" s="74"/>
      <c r="I22" s="49"/>
      <c r="J22" s="73"/>
      <c r="L22" s="74"/>
      <c r="M22" s="71"/>
      <c r="N22" s="69"/>
      <c r="O22" s="164"/>
      <c r="P22" s="25"/>
    </row>
    <row r="23" spans="1:16" ht="12.75">
      <c r="A23" s="69"/>
      <c r="B23" s="74"/>
      <c r="C23" s="74"/>
      <c r="D23" s="74"/>
      <c r="E23" s="73"/>
      <c r="F23" s="73"/>
      <c r="G23" s="74"/>
      <c r="H23" s="74"/>
      <c r="I23" s="49"/>
      <c r="J23" s="73"/>
      <c r="L23" s="74"/>
      <c r="M23" s="71"/>
      <c r="N23" s="69"/>
      <c r="O23" s="164"/>
      <c r="P23" s="25"/>
    </row>
    <row r="24" spans="1:16" ht="12.75">
      <c r="A24" s="69"/>
      <c r="B24" s="74"/>
      <c r="C24" s="74"/>
      <c r="D24" s="74"/>
      <c r="E24" s="73"/>
      <c r="F24" s="73"/>
      <c r="G24" s="74"/>
      <c r="H24" s="74"/>
      <c r="I24" s="49"/>
      <c r="J24" s="73"/>
      <c r="L24" s="74"/>
      <c r="M24" s="71"/>
      <c r="N24" s="69"/>
      <c r="O24" s="164"/>
      <c r="P24" s="25"/>
    </row>
    <row r="25" spans="1:16" ht="12.75">
      <c r="A25" s="69"/>
      <c r="B25" s="74"/>
      <c r="C25" s="74"/>
      <c r="D25" s="74"/>
      <c r="E25" s="73"/>
      <c r="F25" s="73"/>
      <c r="G25" s="74"/>
      <c r="H25" s="74"/>
      <c r="I25" s="49"/>
      <c r="J25" s="73"/>
      <c r="L25" s="74"/>
      <c r="M25" s="71"/>
      <c r="N25" s="69"/>
      <c r="O25" s="164"/>
      <c r="P25" s="25"/>
    </row>
    <row r="26" spans="1:16" ht="12.75">
      <c r="A26" s="69"/>
      <c r="B26" s="74"/>
      <c r="C26" s="74"/>
      <c r="D26" s="74"/>
      <c r="E26" s="73"/>
      <c r="F26" s="73"/>
      <c r="G26" s="74"/>
      <c r="H26" s="74"/>
      <c r="I26" s="49"/>
      <c r="J26" s="73"/>
      <c r="L26" s="74"/>
      <c r="M26" s="71"/>
      <c r="N26" s="69"/>
      <c r="O26" s="164"/>
      <c r="P26" s="25"/>
    </row>
    <row r="27" spans="1:16" ht="12.75">
      <c r="A27" s="69"/>
      <c r="B27" s="74"/>
      <c r="C27" s="74"/>
      <c r="D27" s="74"/>
      <c r="E27" s="73"/>
      <c r="F27" s="73"/>
      <c r="G27" s="74"/>
      <c r="H27" s="74"/>
      <c r="I27" s="49"/>
      <c r="J27" s="73"/>
      <c r="L27" s="74"/>
      <c r="M27" s="71"/>
      <c r="N27" s="69"/>
      <c r="O27" s="164"/>
      <c r="P27" s="25"/>
    </row>
    <row r="28" spans="1:16" ht="12.75">
      <c r="A28" s="69"/>
      <c r="B28" s="74"/>
      <c r="C28" s="74"/>
      <c r="D28" s="74"/>
      <c r="E28" s="73"/>
      <c r="F28" s="73"/>
      <c r="G28" s="74"/>
      <c r="H28" s="74"/>
      <c r="I28" s="49"/>
      <c r="J28" s="73"/>
      <c r="L28" s="74"/>
      <c r="M28" s="71"/>
      <c r="N28" s="69"/>
      <c r="O28" s="164"/>
      <c r="P28" s="25"/>
    </row>
    <row r="29" spans="1:16" ht="12.75">
      <c r="A29" s="69"/>
      <c r="B29" s="74"/>
      <c r="C29" s="74"/>
      <c r="D29" s="74"/>
      <c r="E29" s="73"/>
      <c r="F29" s="73"/>
      <c r="G29" s="74"/>
      <c r="H29" s="74"/>
      <c r="I29" s="49"/>
      <c r="J29" s="73"/>
      <c r="L29" s="74"/>
      <c r="M29" s="71"/>
      <c r="N29" s="69"/>
      <c r="O29" s="164"/>
      <c r="P29" s="25"/>
    </row>
    <row r="30" spans="1:16" ht="12.75">
      <c r="A30" s="69"/>
      <c r="B30" s="74"/>
      <c r="C30" s="74"/>
      <c r="D30" s="74"/>
      <c r="E30" s="73"/>
      <c r="F30" s="73"/>
      <c r="G30" s="74"/>
      <c r="H30" s="74"/>
      <c r="I30" s="49"/>
      <c r="J30" s="73"/>
      <c r="L30" s="74"/>
      <c r="M30" s="71"/>
      <c r="N30" s="69"/>
      <c r="O30" s="164"/>
      <c r="P30" s="25"/>
    </row>
    <row r="31" spans="1:16" ht="12.75">
      <c r="A31" s="69"/>
      <c r="B31" s="74"/>
      <c r="C31" s="74"/>
      <c r="D31" s="74"/>
      <c r="E31" s="73"/>
      <c r="F31" s="73"/>
      <c r="G31" s="74"/>
      <c r="H31" s="74"/>
      <c r="I31" s="49"/>
      <c r="J31" s="73"/>
      <c r="L31" s="74"/>
      <c r="M31" s="71"/>
      <c r="N31" s="69"/>
      <c r="O31" s="164"/>
      <c r="P31" s="25"/>
    </row>
    <row r="32" spans="1:16" ht="12.75">
      <c r="A32" s="69"/>
      <c r="B32" s="74"/>
      <c r="C32" s="74"/>
      <c r="D32" s="74"/>
      <c r="E32" s="73"/>
      <c r="F32" s="73"/>
      <c r="G32" s="74"/>
      <c r="H32" s="74"/>
      <c r="I32" s="49"/>
      <c r="J32" s="73"/>
      <c r="L32" s="74"/>
      <c r="M32" s="71"/>
      <c r="N32" s="69"/>
      <c r="O32" s="164"/>
      <c r="P32" s="25"/>
    </row>
    <row r="33" spans="1:16" ht="12.75">
      <c r="A33" s="69"/>
      <c r="B33" s="74"/>
      <c r="C33" s="74"/>
      <c r="D33" s="74"/>
      <c r="E33" s="73"/>
      <c r="F33" s="73"/>
      <c r="G33" s="74"/>
      <c r="H33" s="74"/>
      <c r="I33" s="49"/>
      <c r="J33" s="73"/>
      <c r="L33" s="74"/>
      <c r="M33" s="71"/>
      <c r="N33" s="69"/>
      <c r="O33" s="164"/>
      <c r="P33" s="25"/>
    </row>
    <row r="34" spans="3:16" ht="12.75">
      <c r="C34" s="74"/>
      <c r="D34" s="74"/>
      <c r="E34" s="73"/>
      <c r="F34" s="73"/>
      <c r="G34" s="74"/>
      <c r="H34" s="74"/>
      <c r="I34" s="49"/>
      <c r="J34" s="73"/>
      <c r="L34" s="74"/>
      <c r="M34" s="71"/>
      <c r="N34" s="69"/>
      <c r="O34" s="164"/>
      <c r="P34" s="25"/>
    </row>
    <row r="35" spans="3:16" ht="12.75">
      <c r="C35" s="74"/>
      <c r="D35" s="74"/>
      <c r="E35" s="73"/>
      <c r="F35" s="73"/>
      <c r="G35" s="74"/>
      <c r="H35" s="74"/>
      <c r="I35" s="49"/>
      <c r="J35" s="73"/>
      <c r="L35" s="74"/>
      <c r="M35" s="71"/>
      <c r="N35" s="69"/>
      <c r="O35" s="164"/>
      <c r="P35" s="25"/>
    </row>
    <row r="36" spans="3:16" ht="12.75">
      <c r="C36" s="74"/>
      <c r="D36" s="74"/>
      <c r="E36" s="73"/>
      <c r="F36" s="73"/>
      <c r="G36" s="74"/>
      <c r="H36" s="74"/>
      <c r="I36" s="49"/>
      <c r="J36" s="73"/>
      <c r="L36" s="74"/>
      <c r="M36" s="71"/>
      <c r="N36" s="69"/>
      <c r="O36" s="164"/>
      <c r="P36" s="25"/>
    </row>
    <row r="37" spans="3:16" ht="12.75">
      <c r="C37" s="74"/>
      <c r="D37" s="74"/>
      <c r="E37" s="73"/>
      <c r="F37" s="73"/>
      <c r="G37" s="74"/>
      <c r="H37" s="74"/>
      <c r="I37" s="49"/>
      <c r="J37" s="73"/>
      <c r="L37" s="74"/>
      <c r="M37" s="71"/>
      <c r="N37" s="69"/>
      <c r="O37" s="164"/>
      <c r="P37" s="25"/>
    </row>
    <row r="38" spans="3:16" ht="12.75">
      <c r="C38" s="74"/>
      <c r="D38" s="74"/>
      <c r="E38" s="73"/>
      <c r="F38" s="73"/>
      <c r="G38" s="74"/>
      <c r="H38" s="74"/>
      <c r="I38" s="49"/>
      <c r="J38" s="73"/>
      <c r="L38" s="74"/>
      <c r="M38" s="71"/>
      <c r="N38" s="69"/>
      <c r="O38" s="164"/>
      <c r="P38" s="25"/>
    </row>
    <row r="39" spans="3:16" ht="12.75">
      <c r="C39" s="74"/>
      <c r="D39" s="74"/>
      <c r="E39" s="73"/>
      <c r="F39" s="73"/>
      <c r="G39" s="74"/>
      <c r="H39" s="74"/>
      <c r="I39" s="49"/>
      <c r="J39" s="73"/>
      <c r="L39" s="74"/>
      <c r="M39" s="71"/>
      <c r="N39" s="69"/>
      <c r="O39" s="164"/>
      <c r="P39" s="25"/>
    </row>
    <row r="40" spans="3:16" ht="12.75">
      <c r="C40" s="74"/>
      <c r="D40" s="74"/>
      <c r="E40" s="73"/>
      <c r="F40" s="73"/>
      <c r="G40" s="74"/>
      <c r="H40" s="74"/>
      <c r="I40" s="49"/>
      <c r="J40" s="73"/>
      <c r="L40" s="74"/>
      <c r="M40" s="71"/>
      <c r="N40" s="69"/>
      <c r="O40" s="164"/>
      <c r="P40" s="25"/>
    </row>
    <row r="41" spans="3:16" ht="12.75">
      <c r="C41" s="74"/>
      <c r="D41" s="74"/>
      <c r="E41" s="73"/>
      <c r="F41" s="73"/>
      <c r="G41" s="74"/>
      <c r="H41" s="74"/>
      <c r="I41" s="49"/>
      <c r="J41" s="73"/>
      <c r="L41" s="74"/>
      <c r="M41" s="71"/>
      <c r="N41" s="69"/>
      <c r="O41" s="164"/>
      <c r="P41" s="25"/>
    </row>
    <row r="42" spans="3:16" ht="12.75">
      <c r="C42" s="74"/>
      <c r="D42" s="74"/>
      <c r="E42" s="73"/>
      <c r="F42" s="73"/>
      <c r="G42" s="74"/>
      <c r="H42" s="74"/>
      <c r="I42" s="49"/>
      <c r="J42" s="73"/>
      <c r="L42" s="74"/>
      <c r="M42" s="71"/>
      <c r="N42" s="69"/>
      <c r="O42" s="164"/>
      <c r="P42" s="25"/>
    </row>
    <row r="43" spans="3:16" ht="12.75">
      <c r="C43" s="74"/>
      <c r="D43" s="74"/>
      <c r="E43" s="73"/>
      <c r="F43" s="73"/>
      <c r="G43" s="74"/>
      <c r="H43" s="74"/>
      <c r="I43" s="49"/>
      <c r="J43" s="73"/>
      <c r="L43" s="74"/>
      <c r="M43" s="71"/>
      <c r="N43" s="69"/>
      <c r="O43" s="164"/>
      <c r="P43" s="25"/>
    </row>
    <row r="44" spans="3:16" ht="12.75">
      <c r="C44" s="74"/>
      <c r="D44" s="74"/>
      <c r="E44" s="73"/>
      <c r="F44" s="73"/>
      <c r="G44" s="74"/>
      <c r="H44" s="74"/>
      <c r="I44" s="49"/>
      <c r="J44" s="73"/>
      <c r="L44" s="74"/>
      <c r="M44" s="71"/>
      <c r="N44" s="69"/>
      <c r="O44" s="164"/>
      <c r="P44" s="25"/>
    </row>
    <row r="45" spans="3:16" ht="12.75">
      <c r="C45" s="74"/>
      <c r="D45" s="74"/>
      <c r="E45" s="73"/>
      <c r="F45" s="73"/>
      <c r="G45" s="74"/>
      <c r="H45" s="74"/>
      <c r="I45" s="49"/>
      <c r="J45" s="73"/>
      <c r="L45" s="74"/>
      <c r="M45" s="71"/>
      <c r="N45" s="69"/>
      <c r="O45" s="164"/>
      <c r="P45" s="25"/>
    </row>
    <row r="46" spans="3:16" ht="12.75">
      <c r="C46" s="74"/>
      <c r="D46" s="74"/>
      <c r="E46" s="73"/>
      <c r="F46" s="73"/>
      <c r="G46" s="74"/>
      <c r="H46" s="74"/>
      <c r="I46" s="49"/>
      <c r="J46" s="73"/>
      <c r="L46" s="74"/>
      <c r="M46" s="71"/>
      <c r="N46" s="69"/>
      <c r="O46" s="164"/>
      <c r="P46" s="25"/>
    </row>
    <row r="47" spans="3:16" ht="12.75">
      <c r="C47" s="74"/>
      <c r="D47" s="74"/>
      <c r="E47" s="73"/>
      <c r="F47" s="73"/>
      <c r="G47" s="74"/>
      <c r="H47" s="74"/>
      <c r="I47" s="49"/>
      <c r="J47" s="73"/>
      <c r="L47" s="74"/>
      <c r="M47" s="71"/>
      <c r="N47" s="69"/>
      <c r="O47" s="164"/>
      <c r="P47" s="25"/>
    </row>
    <row r="48" spans="3:16" ht="12.75">
      <c r="C48" s="74"/>
      <c r="D48" s="74"/>
      <c r="E48" s="73"/>
      <c r="F48" s="73"/>
      <c r="G48" s="74"/>
      <c r="H48" s="74"/>
      <c r="I48" s="49"/>
      <c r="J48" s="73"/>
      <c r="L48" s="74"/>
      <c r="M48" s="71"/>
      <c r="N48" s="69"/>
      <c r="O48" s="164"/>
      <c r="P48" s="25"/>
    </row>
    <row r="49" spans="3:16" ht="12.75">
      <c r="C49" s="74"/>
      <c r="D49" s="74"/>
      <c r="E49" s="73"/>
      <c r="F49" s="73"/>
      <c r="G49" s="74"/>
      <c r="H49" s="74"/>
      <c r="I49" s="49"/>
      <c r="J49" s="73"/>
      <c r="L49" s="74"/>
      <c r="M49" s="71"/>
      <c r="N49" s="69"/>
      <c r="O49" s="164"/>
      <c r="P49" s="25"/>
    </row>
    <row r="50" spans="3:16" ht="12.75">
      <c r="C50" s="74"/>
      <c r="D50" s="74"/>
      <c r="E50" s="73"/>
      <c r="F50" s="73"/>
      <c r="G50" s="74"/>
      <c r="H50" s="74"/>
      <c r="I50" s="49"/>
      <c r="J50" s="73"/>
      <c r="L50" s="74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3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11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I8" sqref="I8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2.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7">
        <f>IF(COUNTIF(Q1:Q1000,"Введите дату рождения")&lt;&gt;0,"1","")</f>
      </c>
    </row>
    <row r="2" spans="1:18" ht="12.75" customHeight="1">
      <c r="A2" s="42"/>
      <c r="B2" s="39"/>
      <c r="C2" s="39"/>
      <c r="D2" s="39"/>
      <c r="E2" s="42"/>
      <c r="F2" s="39" t="str">
        <f>Отчет!$C$4</f>
        <v>МБОУ СОШ № 153</v>
      </c>
      <c r="G2" s="176"/>
      <c r="H2" s="270">
        <f aca="true" t="shared" si="0" ref="H2:H20">G2</f>
        <v>0</v>
      </c>
      <c r="I2" s="39"/>
      <c r="J2" s="39"/>
      <c r="K2" s="165"/>
      <c r="L2" s="39"/>
      <c r="M2" s="4" t="e">
        <f aca="true" t="shared" si="1" ref="M2:M20">K2/L2</f>
        <v>#DIV/0!</v>
      </c>
      <c r="N2" s="39"/>
      <c r="O2" s="39"/>
      <c r="P2" s="21" t="s">
        <v>56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 t="str">
        <f>Отчет!$C$4</f>
        <v>МБОУ СОШ № 153</v>
      </c>
      <c r="G3" s="176"/>
      <c r="H3" s="270">
        <f t="shared" si="0"/>
        <v>0</v>
      </c>
      <c r="I3" s="39"/>
      <c r="J3" s="39"/>
      <c r="K3" s="165"/>
      <c r="L3" s="39"/>
      <c r="M3" s="4" t="e">
        <f t="shared" si="1"/>
        <v>#DIV/0!</v>
      </c>
      <c r="N3" s="39"/>
      <c r="O3" s="39"/>
      <c r="P3" s="21" t="s">
        <v>56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 customHeight="1">
      <c r="A4" s="166"/>
      <c r="B4" s="21"/>
      <c r="C4" s="39"/>
      <c r="D4" s="39"/>
      <c r="E4" s="42"/>
      <c r="F4" s="39" t="str">
        <f>Отчет!$C$4</f>
        <v>МБОУ СОШ № 153</v>
      </c>
      <c r="G4" s="176"/>
      <c r="H4" s="270">
        <f t="shared" si="0"/>
        <v>0</v>
      </c>
      <c r="I4" s="39"/>
      <c r="J4" s="39"/>
      <c r="K4" s="165"/>
      <c r="L4" s="39"/>
      <c r="M4" s="4" t="e">
        <f t="shared" si="1"/>
        <v>#DIV/0!</v>
      </c>
      <c r="N4" s="39"/>
      <c r="O4" s="39"/>
      <c r="P4" s="21" t="s">
        <v>56</v>
      </c>
      <c r="Q4" s="134">
        <f t="shared" si="2"/>
      </c>
      <c r="R4" s="271">
        <f>Отчет!$Q$4</f>
        <v>937015</v>
      </c>
    </row>
    <row r="5" spans="1:18" ht="12.75" customHeight="1">
      <c r="A5" s="166"/>
      <c r="B5" s="21"/>
      <c r="C5" s="39"/>
      <c r="D5" s="39"/>
      <c r="E5" s="42"/>
      <c r="F5" s="39" t="str">
        <f>Отчет!$C$4</f>
        <v>МБОУ СОШ № 153</v>
      </c>
      <c r="G5" s="176"/>
      <c r="H5" s="270">
        <f t="shared" si="0"/>
        <v>0</v>
      </c>
      <c r="I5" s="39"/>
      <c r="J5" s="39"/>
      <c r="K5" s="165"/>
      <c r="L5" s="39"/>
      <c r="M5" s="4" t="e">
        <f t="shared" si="1"/>
        <v>#DIV/0!</v>
      </c>
      <c r="N5" s="39"/>
      <c r="O5" s="39"/>
      <c r="P5" s="21" t="s">
        <v>56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 t="str">
        <f>Отчет!$C$4</f>
        <v>МБОУ СОШ № 153</v>
      </c>
      <c r="G6" s="176"/>
      <c r="H6" s="270">
        <f t="shared" si="0"/>
        <v>0</v>
      </c>
      <c r="I6" s="39"/>
      <c r="J6" s="39"/>
      <c r="K6" s="165"/>
      <c r="L6" s="39"/>
      <c r="M6" s="4" t="e">
        <f t="shared" si="1"/>
        <v>#DIV/0!</v>
      </c>
      <c r="N6" s="39"/>
      <c r="O6" s="39"/>
      <c r="P6" s="21" t="s">
        <v>56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 t="str">
        <f>Отчет!$C$4</f>
        <v>МБОУ СОШ № 153</v>
      </c>
      <c r="G7" s="176"/>
      <c r="H7" s="270">
        <f t="shared" si="0"/>
        <v>0</v>
      </c>
      <c r="I7" s="39"/>
      <c r="J7" s="39"/>
      <c r="K7" s="165"/>
      <c r="L7" s="39"/>
      <c r="M7" s="4" t="e">
        <f t="shared" si="1"/>
        <v>#DIV/0!</v>
      </c>
      <c r="N7" s="39"/>
      <c r="O7" s="39"/>
      <c r="P7" s="21" t="s">
        <v>56</v>
      </c>
      <c r="Q7" s="134">
        <f t="shared" si="2"/>
      </c>
      <c r="R7" s="271">
        <f>Отчет!$Q$4</f>
        <v>937015</v>
      </c>
    </row>
    <row r="8" spans="1:18" ht="12.75" customHeight="1">
      <c r="A8" s="166"/>
      <c r="B8" s="21"/>
      <c r="C8" s="39"/>
      <c r="D8" s="39"/>
      <c r="E8" s="42"/>
      <c r="F8" s="39" t="str">
        <f>Отчет!$C$4</f>
        <v>МБОУ СОШ № 153</v>
      </c>
      <c r="G8" s="176"/>
      <c r="H8" s="270">
        <f t="shared" si="0"/>
        <v>0</v>
      </c>
      <c r="I8" s="39"/>
      <c r="J8" s="39"/>
      <c r="K8" s="165"/>
      <c r="L8" s="39"/>
      <c r="M8" s="4" t="e">
        <f t="shared" si="1"/>
        <v>#DIV/0!</v>
      </c>
      <c r="N8" s="39"/>
      <c r="O8" s="39"/>
      <c r="P8" s="21" t="s">
        <v>56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 t="str">
        <f>Отчет!$C$4</f>
        <v>МБОУ СОШ № 153</v>
      </c>
      <c r="G9" s="176"/>
      <c r="H9" s="270">
        <f t="shared" si="0"/>
        <v>0</v>
      </c>
      <c r="I9" s="39"/>
      <c r="J9" s="39"/>
      <c r="K9" s="165"/>
      <c r="L9" s="39"/>
      <c r="M9" s="4" t="e">
        <f t="shared" si="1"/>
        <v>#DIV/0!</v>
      </c>
      <c r="N9" s="39"/>
      <c r="O9" s="39"/>
      <c r="P9" s="21" t="s">
        <v>56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 t="str">
        <f>Отчет!$C$4</f>
        <v>МБОУ СОШ № 153</v>
      </c>
      <c r="G10" s="176"/>
      <c r="H10" s="270">
        <f t="shared" si="0"/>
        <v>0</v>
      </c>
      <c r="I10" s="39"/>
      <c r="J10" s="39"/>
      <c r="K10" s="165"/>
      <c r="L10" s="39"/>
      <c r="M10" s="4" t="e">
        <f t="shared" si="1"/>
        <v>#DIV/0!</v>
      </c>
      <c r="N10" s="39"/>
      <c r="O10" s="39"/>
      <c r="P10" s="21" t="s">
        <v>56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 t="str">
        <f>Отчет!$C$4</f>
        <v>МБОУ СОШ № 153</v>
      </c>
      <c r="G11" s="176"/>
      <c r="H11" s="270">
        <f t="shared" si="0"/>
        <v>0</v>
      </c>
      <c r="I11" s="39"/>
      <c r="J11" s="39"/>
      <c r="K11" s="165"/>
      <c r="L11" s="39"/>
      <c r="M11" s="4" t="e">
        <f t="shared" si="1"/>
        <v>#DIV/0!</v>
      </c>
      <c r="N11" s="39"/>
      <c r="O11" s="39"/>
      <c r="P11" s="21" t="s">
        <v>56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 t="str">
        <f>Отчет!$C$4</f>
        <v>МБОУ СОШ № 153</v>
      </c>
      <c r="G12" s="176"/>
      <c r="H12" s="270">
        <f t="shared" si="0"/>
        <v>0</v>
      </c>
      <c r="I12" s="39"/>
      <c r="J12" s="39"/>
      <c r="K12" s="165"/>
      <c r="L12" s="39"/>
      <c r="M12" s="4" t="e">
        <f t="shared" si="1"/>
        <v>#DIV/0!</v>
      </c>
      <c r="N12" s="39"/>
      <c r="O12" s="39"/>
      <c r="P12" s="21" t="s">
        <v>56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 t="str">
        <f>Отчет!$C$4</f>
        <v>МБОУ СОШ № 153</v>
      </c>
      <c r="G13" s="176"/>
      <c r="H13" s="270">
        <f t="shared" si="0"/>
        <v>0</v>
      </c>
      <c r="I13" s="39"/>
      <c r="J13" s="39"/>
      <c r="K13" s="165"/>
      <c r="L13" s="39"/>
      <c r="M13" s="4" t="e">
        <f t="shared" si="1"/>
        <v>#DIV/0!</v>
      </c>
      <c r="N13" s="39"/>
      <c r="O13" s="39"/>
      <c r="P13" s="21" t="s">
        <v>56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 t="str">
        <f>Отчет!$C$4</f>
        <v>МБОУ СОШ № 153</v>
      </c>
      <c r="G14" s="176"/>
      <c r="H14" s="270">
        <f t="shared" si="0"/>
        <v>0</v>
      </c>
      <c r="I14" s="39"/>
      <c r="J14" s="39"/>
      <c r="K14" s="165"/>
      <c r="L14" s="39"/>
      <c r="M14" s="4" t="e">
        <f t="shared" si="1"/>
        <v>#DIV/0!</v>
      </c>
      <c r="N14" s="39"/>
      <c r="O14" s="39"/>
      <c r="P14" s="21" t="s">
        <v>56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 t="str">
        <f>Отчет!$C$4</f>
        <v>МБОУ СОШ № 153</v>
      </c>
      <c r="G15" s="176"/>
      <c r="H15" s="270">
        <f t="shared" si="0"/>
        <v>0</v>
      </c>
      <c r="I15" s="39"/>
      <c r="J15" s="39"/>
      <c r="K15" s="165"/>
      <c r="L15" s="39"/>
      <c r="M15" s="4" t="e">
        <f t="shared" si="1"/>
        <v>#DIV/0!</v>
      </c>
      <c r="N15" s="39"/>
      <c r="O15" s="39"/>
      <c r="P15" s="21" t="s">
        <v>56</v>
      </c>
      <c r="Q15" s="134">
        <f t="shared" si="2"/>
      </c>
      <c r="R15" s="271">
        <f>Отчет!$Q$4</f>
        <v>937015</v>
      </c>
    </row>
    <row r="16" spans="1:18" ht="12.75">
      <c r="A16" s="3"/>
      <c r="B16" s="3"/>
      <c r="C16" s="3"/>
      <c r="D16" s="3"/>
      <c r="E16" s="170"/>
      <c r="F16" s="39" t="str">
        <f>Отчет!$C$4</f>
        <v>МБОУ СОШ № 153</v>
      </c>
      <c r="G16" s="176"/>
      <c r="H16" s="270">
        <f t="shared" si="0"/>
        <v>0</v>
      </c>
      <c r="I16" s="5"/>
      <c r="J16" s="39"/>
      <c r="K16" s="5"/>
      <c r="L16" s="3"/>
      <c r="M16" s="4" t="e">
        <f t="shared" si="1"/>
        <v>#DIV/0!</v>
      </c>
      <c r="N16" s="37"/>
      <c r="O16" s="39"/>
      <c r="P16" s="21" t="s">
        <v>56</v>
      </c>
      <c r="Q16" s="134">
        <f t="shared" si="2"/>
      </c>
      <c r="R16" s="271">
        <f>Отчет!$Q$4</f>
        <v>937015</v>
      </c>
    </row>
    <row r="17" spans="1:18" ht="12.75">
      <c r="A17" s="3"/>
      <c r="B17" s="3"/>
      <c r="C17" s="3"/>
      <c r="D17" s="3"/>
      <c r="E17" s="170"/>
      <c r="F17" s="39" t="str">
        <f>Отчет!$C$4</f>
        <v>МБОУ СОШ № 153</v>
      </c>
      <c r="G17" s="176"/>
      <c r="H17" s="270">
        <f t="shared" si="0"/>
        <v>0</v>
      </c>
      <c r="I17" s="5"/>
      <c r="J17" s="39"/>
      <c r="K17" s="5"/>
      <c r="L17" s="3"/>
      <c r="M17" s="4" t="e">
        <f t="shared" si="1"/>
        <v>#DIV/0!</v>
      </c>
      <c r="N17" s="37"/>
      <c r="O17" s="39"/>
      <c r="P17" s="21" t="s">
        <v>56</v>
      </c>
      <c r="Q17" s="134">
        <f t="shared" si="2"/>
      </c>
      <c r="R17" s="271">
        <f>Отчет!$Q$4</f>
        <v>937015</v>
      </c>
    </row>
    <row r="18" spans="1:18" ht="12.75">
      <c r="A18" s="3"/>
      <c r="B18" s="3"/>
      <c r="C18" s="3"/>
      <c r="D18" s="3"/>
      <c r="E18" s="170"/>
      <c r="F18" s="39" t="str">
        <f>Отчет!$C$4</f>
        <v>МБОУ СОШ № 153</v>
      </c>
      <c r="G18" s="176"/>
      <c r="H18" s="270">
        <f t="shared" si="0"/>
        <v>0</v>
      </c>
      <c r="I18" s="5"/>
      <c r="J18" s="39"/>
      <c r="K18" s="5"/>
      <c r="L18" s="3"/>
      <c r="M18" s="4" t="e">
        <f t="shared" si="1"/>
        <v>#DIV/0!</v>
      </c>
      <c r="N18" s="37"/>
      <c r="O18" s="39"/>
      <c r="P18" s="21" t="s">
        <v>56</v>
      </c>
      <c r="Q18" s="134">
        <f t="shared" si="2"/>
      </c>
      <c r="R18" s="271">
        <f>Отчет!$Q$4</f>
        <v>937015</v>
      </c>
    </row>
    <row r="19" spans="1:18" ht="12.75">
      <c r="A19" s="106"/>
      <c r="B19" s="106"/>
      <c r="C19" s="106"/>
      <c r="D19" s="106"/>
      <c r="E19" s="171"/>
      <c r="F19" s="39" t="str">
        <f>Отчет!$C$4</f>
        <v>МБОУ СОШ № 153</v>
      </c>
      <c r="G19" s="176"/>
      <c r="H19" s="270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10"/>
      <c r="O19" s="39"/>
      <c r="P19" s="105" t="s">
        <v>56</v>
      </c>
      <c r="Q19" s="134">
        <f t="shared" si="2"/>
      </c>
      <c r="R19" s="271">
        <f>Отчет!$Q$4</f>
        <v>937015</v>
      </c>
    </row>
    <row r="20" spans="1:18" ht="12.75">
      <c r="A20" s="3"/>
      <c r="B20" s="3"/>
      <c r="C20" s="3"/>
      <c r="D20" s="3"/>
      <c r="E20" s="170"/>
      <c r="F20" s="39" t="str">
        <f>Отчет!$C$4</f>
        <v>МБОУ СОШ № 153</v>
      </c>
      <c r="G20" s="176"/>
      <c r="H20" s="270">
        <f t="shared" si="0"/>
        <v>0</v>
      </c>
      <c r="I20" s="46"/>
      <c r="J20" s="39"/>
      <c r="K20" s="163"/>
      <c r="L20" s="3"/>
      <c r="M20" s="4" t="e">
        <f t="shared" si="1"/>
        <v>#DIV/0!</v>
      </c>
      <c r="N20" s="3"/>
      <c r="O20" s="39"/>
      <c r="P20" s="21" t="s">
        <v>56</v>
      </c>
      <c r="Q20" s="134">
        <f t="shared" si="2"/>
      </c>
      <c r="R20" s="271">
        <f>Отчет!$Q$4</f>
        <v>937015</v>
      </c>
    </row>
    <row r="21" spans="1:16" ht="12.75">
      <c r="A21" s="69"/>
      <c r="B21" s="69"/>
      <c r="C21" s="69"/>
      <c r="D21" s="69"/>
      <c r="E21" s="70"/>
      <c r="F21" s="73"/>
      <c r="G21" s="69"/>
      <c r="H21" s="69"/>
      <c r="I21" s="49"/>
      <c r="J21" s="73"/>
      <c r="K21" s="49"/>
      <c r="L21" s="69"/>
      <c r="M21" s="71"/>
      <c r="N21" s="69"/>
      <c r="O21" s="164"/>
      <c r="P21" s="25"/>
    </row>
    <row r="22" spans="1:16" ht="12.75">
      <c r="A22" s="69"/>
      <c r="B22" s="69"/>
      <c r="C22" s="69"/>
      <c r="D22" s="69"/>
      <c r="E22" s="70"/>
      <c r="F22" s="73"/>
      <c r="G22" s="69"/>
      <c r="H22" s="69"/>
      <c r="I22" s="49"/>
      <c r="J22" s="73"/>
      <c r="K22" s="49"/>
      <c r="L22" s="69"/>
      <c r="M22" s="71"/>
      <c r="N22" s="69"/>
      <c r="O22" s="164"/>
      <c r="P22" s="25"/>
    </row>
    <row r="23" spans="1:16" ht="12.75">
      <c r="A23" s="69"/>
      <c r="B23" s="69"/>
      <c r="C23" s="69"/>
      <c r="D23" s="69"/>
      <c r="E23" s="70"/>
      <c r="F23" s="73"/>
      <c r="G23" s="69"/>
      <c r="H23" s="69"/>
      <c r="I23" s="49"/>
      <c r="J23" s="73"/>
      <c r="K23" s="49"/>
      <c r="L23" s="69"/>
      <c r="M23" s="71"/>
      <c r="N23" s="69"/>
      <c r="O23" s="164"/>
      <c r="P23" s="25"/>
    </row>
    <row r="24" spans="1:16" ht="12.75">
      <c r="A24" s="69"/>
      <c r="B24" s="69"/>
      <c r="C24" s="69"/>
      <c r="D24" s="69"/>
      <c r="E24" s="70"/>
      <c r="F24" s="73"/>
      <c r="G24" s="69"/>
      <c r="H24" s="69" t="s">
        <v>365</v>
      </c>
      <c r="I24" s="49"/>
      <c r="J24" s="73"/>
      <c r="K24" s="49"/>
      <c r="L24" s="69"/>
      <c r="M24" s="71"/>
      <c r="N24" s="69"/>
      <c r="O24" s="164"/>
      <c r="P24" s="25"/>
    </row>
    <row r="25" spans="1:16" ht="12.75">
      <c r="A25" s="69"/>
      <c r="B25" s="69"/>
      <c r="C25" s="69"/>
      <c r="D25" s="69"/>
      <c r="E25" s="70"/>
      <c r="F25" s="73"/>
      <c r="G25" s="69"/>
      <c r="H25" s="69"/>
      <c r="I25" s="49"/>
      <c r="J25" s="73"/>
      <c r="K25" s="49"/>
      <c r="L25" s="69"/>
      <c r="M25" s="71"/>
      <c r="N25" s="69"/>
      <c r="O25" s="164"/>
      <c r="P25" s="25"/>
    </row>
    <row r="26" spans="1:16" ht="12.75">
      <c r="A26" s="69"/>
      <c r="B26" s="69"/>
      <c r="C26" s="69"/>
      <c r="D26" s="69"/>
      <c r="E26" s="70"/>
      <c r="F26" s="73"/>
      <c r="G26" s="69"/>
      <c r="H26" s="69"/>
      <c r="I26" s="49"/>
      <c r="J26" s="73"/>
      <c r="K26" s="49"/>
      <c r="L26" s="69"/>
      <c r="M26" s="71"/>
      <c r="N26" s="69"/>
      <c r="O26" s="164"/>
      <c r="P26" s="25"/>
    </row>
    <row r="27" spans="1:16" ht="12.75">
      <c r="A27" s="69"/>
      <c r="B27" s="69"/>
      <c r="C27" s="69"/>
      <c r="D27" s="69"/>
      <c r="E27" s="70"/>
      <c r="F27" s="73"/>
      <c r="G27" s="69"/>
      <c r="H27" s="69"/>
      <c r="I27" s="49"/>
      <c r="J27" s="73"/>
      <c r="K27" s="49"/>
      <c r="L27" s="69"/>
      <c r="M27" s="71"/>
      <c r="N27" s="69"/>
      <c r="O27" s="164"/>
      <c r="P27" s="25"/>
    </row>
    <row r="28" spans="1:16" ht="12.75">
      <c r="A28" s="69"/>
      <c r="B28" s="69"/>
      <c r="C28" s="69"/>
      <c r="D28" s="69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69"/>
      <c r="B29" s="69"/>
      <c r="C29" s="69"/>
      <c r="D29" s="69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69"/>
      <c r="B30" s="69"/>
      <c r="C30" s="69"/>
      <c r="D30" s="69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69"/>
      <c r="B31" s="69"/>
      <c r="C31" s="69"/>
      <c r="D31" s="69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69"/>
      <c r="B32" s="69"/>
      <c r="C32" s="69"/>
      <c r="D32" s="69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69"/>
      <c r="B33" s="69"/>
      <c r="C33" s="69"/>
      <c r="D33" s="69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69"/>
      <c r="D34" s="69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69"/>
      <c r="D35" s="69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69"/>
      <c r="D36" s="69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69"/>
      <c r="D37" s="69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69"/>
      <c r="D38" s="69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69"/>
      <c r="D39" s="69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69"/>
      <c r="D40" s="69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69"/>
      <c r="D41" s="69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69"/>
      <c r="D42" s="69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69"/>
      <c r="D43" s="69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69"/>
      <c r="D44" s="69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69"/>
      <c r="D45" s="69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69"/>
      <c r="D46" s="69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69"/>
      <c r="D47" s="69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69"/>
      <c r="D48" s="69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69"/>
      <c r="D49" s="69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69"/>
      <c r="D50" s="69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gcro</dc:creator>
  <cp:keywords/>
  <dc:description/>
  <cp:lastModifiedBy>153школа</cp:lastModifiedBy>
  <cp:lastPrinted>2019-09-17T08:06:33Z</cp:lastPrinted>
  <dcterms:created xsi:type="dcterms:W3CDTF">2009-10-02T04:15:36Z</dcterms:created>
  <dcterms:modified xsi:type="dcterms:W3CDTF">2020-10-23T02:56:37Z</dcterms:modified>
  <cp:category/>
  <cp:version/>
  <cp:contentType/>
  <cp:contentStatus/>
</cp:coreProperties>
</file>