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90" yWindow="1215" windowWidth="15210" windowHeight="6930" tabRatio="873" activeTab="3"/>
  </bookViews>
  <sheets>
    <sheet name="Параллель" sheetId="28" r:id="rId1"/>
    <sheet name="Диаграммы" sheetId="29" r:id="rId2"/>
    <sheet name="Процент_выполнения" sheetId="34" r:id="rId3"/>
    <sheet name="Отчет" sheetId="25" r:id="rId4"/>
    <sheet name="Английский_язык" sheetId="33" r:id="rId5"/>
    <sheet name="Астрономия" sheetId="14" r:id="rId6"/>
    <sheet name="Биология" sheetId="6" r:id="rId7"/>
    <sheet name="География" sheetId="20" r:id="rId8"/>
    <sheet name="Информатика" sheetId="18" r:id="rId9"/>
    <sheet name="Искусство" sheetId="24" r:id="rId10"/>
    <sheet name="Испанский_язык" sheetId="36" r:id="rId11"/>
    <sheet name="История" sheetId="21" r:id="rId12"/>
    <sheet name="Итальянский_язык" sheetId="32" r:id="rId13"/>
    <sheet name="Китайский_язык" sheetId="31" r:id="rId14"/>
    <sheet name="Литература" sheetId="17" r:id="rId15"/>
    <sheet name="Математика" sheetId="4" r:id="rId16"/>
    <sheet name="Немецкий_язык" sheetId="10" r:id="rId17"/>
    <sheet name="ОБЖ" sheetId="22" r:id="rId18"/>
    <sheet name="Обществознание" sheetId="7" r:id="rId19"/>
    <sheet name="Право" sheetId="13" r:id="rId20"/>
    <sheet name="Русский_язык" sheetId="1" r:id="rId21"/>
    <sheet name="Технология" sheetId="11" r:id="rId22"/>
    <sheet name="Физика" sheetId="5" r:id="rId23"/>
    <sheet name="Физическая_культура" sheetId="15" r:id="rId24"/>
    <sheet name="Французский_язык" sheetId="9" r:id="rId25"/>
    <sheet name="Химия" sheetId="16" r:id="rId26"/>
    <sheet name="Экология" sheetId="12" r:id="rId27"/>
    <sheet name="Экономика" sheetId="19" r:id="rId28"/>
    <sheet name="Коды" sheetId="26" r:id="rId29"/>
  </sheets>
  <definedNames>
    <definedName name="_xlnm._FilterDatabase" localSheetId="4" hidden="1">Английский_язык!$A$1:$Q$1</definedName>
    <definedName name="_xlnm._FilterDatabase" localSheetId="5" hidden="1">Астрономия!$A$1:$Q$1</definedName>
    <definedName name="_xlnm._FilterDatabase" localSheetId="6" hidden="1">Биология!$A$1:$P$10</definedName>
    <definedName name="_xlnm._FilterDatabase" localSheetId="7" hidden="1">География!$A$1:$Q$1</definedName>
    <definedName name="_xlnm._FilterDatabase" localSheetId="8" hidden="1">Информатика!$A$1:$Q$1</definedName>
    <definedName name="_xlnm._FilterDatabase" localSheetId="9" hidden="1">Искусство!$A$1:$Q$1</definedName>
    <definedName name="_xlnm._FilterDatabase" localSheetId="10" hidden="1">Испанский_язык!$A$1:$Q$20</definedName>
    <definedName name="_xlnm._FilterDatabase" localSheetId="11" hidden="1">История!$A$1:$Q$1</definedName>
    <definedName name="_xlnm._FilterDatabase" localSheetId="12" hidden="1">Итальянский_язык!$A$1:$Q$1</definedName>
    <definedName name="_xlnm._FilterDatabase" localSheetId="13" hidden="1">Китайский_язык!$A$1:$Q$1</definedName>
    <definedName name="_xlnm._FilterDatabase" localSheetId="14" hidden="1">Литература!$A$1:$Q$1</definedName>
    <definedName name="_xlnm._FilterDatabase" localSheetId="15" hidden="1">Математика!$A$1:$Q$1</definedName>
    <definedName name="_xlnm._FilterDatabase" localSheetId="16" hidden="1">Немецкий_язык!$A$1:$Q$1</definedName>
    <definedName name="_xlnm._FilterDatabase" localSheetId="17" hidden="1">ОБЖ!$A$1:$Q$1</definedName>
    <definedName name="_xlnm._FilterDatabase" localSheetId="18" hidden="1">Обществознание!$A$1:$Q$1</definedName>
    <definedName name="_xlnm._FilterDatabase" localSheetId="19" hidden="1">Право!$A$1:$Q$1</definedName>
    <definedName name="_xlnm._FilterDatabase" localSheetId="20" hidden="1">Русский_язык!$A$1:$Q$1</definedName>
    <definedName name="_xlnm._FilterDatabase" localSheetId="21" hidden="1">Технология!$A$1:$Q$1</definedName>
    <definedName name="_xlnm._FilterDatabase" localSheetId="22" hidden="1">Физика!$A$1:$Q$1</definedName>
    <definedName name="_xlnm._FilterDatabase" localSheetId="23" hidden="1">Физическая_культура!$A$1:$Q$1</definedName>
    <definedName name="_xlnm._FilterDatabase" localSheetId="24" hidden="1">Французский_язык!$A$1:$Q$1</definedName>
    <definedName name="_xlnm._FilterDatabase" localSheetId="25" hidden="1">Химия!$A$1:$Q$1</definedName>
    <definedName name="_xlnm._FilterDatabase" localSheetId="26" hidden="1">Экология!$A$1:$Q$1</definedName>
    <definedName name="_xlnm._FilterDatabase" localSheetId="27" hidden="1">Экономика!$A$1:$Q$1</definedName>
    <definedName name="ОВЗ">Коды!$F$2:$F$3</definedName>
    <definedName name="ОУ">Коды!$I$2:$I$22</definedName>
    <definedName name="Пол">Коды!$A$8:$A$9</definedName>
    <definedName name="Район">Коды!$A$12:$A$19</definedName>
    <definedName name="Специализированные_классы">Коды!$C$2:$C$16</definedName>
    <definedName name="Статус">Коды!$A$3:$A$5</definedName>
  </definedNames>
  <calcPr calcId="124519"/>
</workbook>
</file>

<file path=xl/calcChain.xml><?xml version="1.0" encoding="utf-8"?>
<calcChain xmlns="http://schemas.openxmlformats.org/spreadsheetml/2006/main">
  <c r="M8" i="15"/>
  <c r="M24" i="17"/>
  <c r="M25"/>
  <c r="M23"/>
  <c r="M22"/>
  <c r="M21"/>
  <c r="M20"/>
  <c r="M19"/>
  <c r="M18"/>
  <c r="M17"/>
  <c r="M16"/>
  <c r="M15"/>
  <c r="M14"/>
  <c r="M13"/>
  <c r="M12"/>
  <c r="M11"/>
  <c r="M10"/>
  <c r="M9"/>
  <c r="M8"/>
  <c r="M7"/>
  <c r="M6"/>
  <c r="M90" i="4"/>
  <c r="M91"/>
  <c r="M92"/>
  <c r="M93"/>
  <c r="M94"/>
  <c r="M95"/>
  <c r="M96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7"/>
  <c r="M98"/>
  <c r="M99"/>
  <c r="M100"/>
  <c r="M101"/>
  <c r="M102"/>
  <c r="M103"/>
  <c r="M101" i="1"/>
  <c r="M102"/>
  <c r="M103"/>
  <c r="M70"/>
  <c r="M114"/>
  <c r="M113"/>
  <c r="M112"/>
  <c r="M111"/>
  <c r="M110"/>
  <c r="M109"/>
  <c r="M108"/>
  <c r="M107"/>
  <c r="M106"/>
  <c r="M105"/>
  <c r="M104"/>
  <c r="M71"/>
  <c r="M72"/>
  <c r="M73"/>
  <c r="M74"/>
  <c r="M75"/>
  <c r="M76"/>
  <c r="M77"/>
  <c r="M78"/>
  <c r="M79"/>
  <c r="M80"/>
  <c r="M81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9" i="13"/>
  <c r="M8"/>
  <c r="M7"/>
  <c r="M6"/>
  <c r="M5"/>
  <c r="M10"/>
  <c r="M4"/>
  <c r="M3"/>
  <c r="M2"/>
  <c r="M13"/>
  <c r="M12"/>
  <c r="M11"/>
  <c r="BL29" i="25"/>
  <c r="M61" i="33"/>
  <c r="M62"/>
  <c r="M63"/>
  <c r="M64"/>
  <c r="M65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6"/>
  <c r="M25"/>
  <c r="M24"/>
  <c r="M23"/>
  <c r="M27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3" i="16"/>
  <c r="M4"/>
  <c r="M5"/>
  <c r="M6"/>
  <c r="M7"/>
  <c r="M8"/>
  <c r="M9"/>
  <c r="M10"/>
  <c r="M2"/>
  <c r="M74" i="7"/>
  <c r="M75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BS28" i="25"/>
  <c r="BK28"/>
  <c r="BC28"/>
  <c r="AU28"/>
  <c r="AM28"/>
  <c r="AE28"/>
  <c r="M26" i="21"/>
  <c r="M27"/>
  <c r="M28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50" i="2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34" i="6"/>
  <c r="M33"/>
  <c r="M32"/>
  <c r="M31"/>
  <c r="M30"/>
  <c r="M29"/>
  <c r="M28"/>
  <c r="M27"/>
  <c r="M26"/>
  <c r="M25"/>
  <c r="M24"/>
  <c r="M23"/>
  <c r="M22"/>
  <c r="M21"/>
  <c r="M20"/>
  <c r="M12"/>
  <c r="M13"/>
  <c r="M14"/>
  <c r="M15"/>
  <c r="M16"/>
  <c r="M17"/>
  <c r="M18"/>
  <c r="M19"/>
  <c r="M6"/>
  <c r="M7"/>
  <c r="M8"/>
  <c r="M9"/>
  <c r="M10"/>
  <c r="M3"/>
  <c r="M4"/>
  <c r="M35"/>
  <c r="M36"/>
  <c r="M37"/>
  <c r="M38"/>
  <c r="M39"/>
  <c r="M11"/>
  <c r="M5"/>
  <c r="M2"/>
  <c r="M68" i="1"/>
  <c r="M69"/>
  <c r="M66"/>
  <c r="M67"/>
  <c r="M65"/>
  <c r="M63"/>
  <c r="M64"/>
  <c r="M62"/>
  <c r="M53"/>
  <c r="M54"/>
  <c r="M55"/>
  <c r="M56"/>
  <c r="M57"/>
  <c r="M58"/>
  <c r="M59"/>
  <c r="M60"/>
  <c r="M61"/>
  <c r="M48"/>
  <c r="M49"/>
  <c r="M50"/>
  <c r="M51"/>
  <c r="M52"/>
  <c r="M47"/>
  <c r="M46"/>
  <c r="M82"/>
  <c r="BE30" i="25" s="1"/>
  <c r="M83" i="1"/>
  <c r="M84"/>
  <c r="M85"/>
  <c r="M86"/>
  <c r="M87"/>
  <c r="M88"/>
  <c r="M89"/>
  <c r="M90"/>
  <c r="M91"/>
  <c r="M92"/>
  <c r="M93"/>
  <c r="M94"/>
  <c r="M95"/>
  <c r="M96"/>
  <c r="M97"/>
  <c r="M98"/>
  <c r="M99"/>
  <c r="M100"/>
  <c r="M29"/>
  <c r="M30"/>
  <c r="M31"/>
  <c r="M32"/>
  <c r="M33"/>
  <c r="M34"/>
  <c r="M35"/>
  <c r="M36"/>
  <c r="M37"/>
  <c r="M38"/>
  <c r="M39"/>
  <c r="M40"/>
  <c r="M41"/>
  <c r="M42"/>
  <c r="M43"/>
  <c r="M44"/>
  <c r="M45"/>
  <c r="M2" i="19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2"/>
  <c r="M3"/>
  <c r="M4"/>
  <c r="M5"/>
  <c r="M6"/>
  <c r="M7"/>
  <c r="M8"/>
  <c r="M9"/>
  <c r="M10"/>
  <c r="M11"/>
  <c r="M12"/>
  <c r="M13"/>
  <c r="M14"/>
  <c r="M15"/>
  <c r="M16"/>
  <c r="M17"/>
  <c r="M18"/>
  <c r="M19"/>
  <c r="M20"/>
  <c r="M11" i="16"/>
  <c r="M12"/>
  <c r="M13"/>
  <c r="M14"/>
  <c r="M15"/>
  <c r="M16"/>
  <c r="M17"/>
  <c r="M18"/>
  <c r="M19"/>
  <c r="M20"/>
  <c r="M2" i="9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5"/>
  <c r="M3"/>
  <c r="M4"/>
  <c r="M5"/>
  <c r="M6"/>
  <c r="M7"/>
  <c r="M9"/>
  <c r="M10"/>
  <c r="M11"/>
  <c r="M12"/>
  <c r="M13"/>
  <c r="M14"/>
  <c r="M15"/>
  <c r="M16"/>
  <c r="M17"/>
  <c r="M18"/>
  <c r="M19"/>
  <c r="M20"/>
  <c r="M2" i="5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1"/>
  <c r="M3"/>
  <c r="M4"/>
  <c r="M5"/>
  <c r="M6"/>
  <c r="M7"/>
  <c r="M8"/>
  <c r="M9"/>
  <c r="M10"/>
  <c r="M11"/>
  <c r="M12"/>
  <c r="M13"/>
  <c r="M14"/>
  <c r="M15"/>
  <c r="M16"/>
  <c r="M17"/>
  <c r="M18"/>
  <c r="M19"/>
  <c r="M20"/>
  <c r="M14" i="13"/>
  <c r="M2" i="22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0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7"/>
  <c r="M3"/>
  <c r="M4"/>
  <c r="M5"/>
  <c r="M2" i="31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32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36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24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8"/>
  <c r="M3"/>
  <c r="M4"/>
  <c r="M5"/>
  <c r="M6"/>
  <c r="M7"/>
  <c r="M8"/>
  <c r="M9"/>
  <c r="M10"/>
  <c r="M11"/>
  <c r="M12"/>
  <c r="M13"/>
  <c r="M14"/>
  <c r="M15"/>
  <c r="M16"/>
  <c r="M17"/>
  <c r="M18"/>
  <c r="M19"/>
  <c r="M20"/>
  <c r="M2" i="14"/>
  <c r="M3"/>
  <c r="M4"/>
  <c r="M5"/>
  <c r="M6"/>
  <c r="M7"/>
  <c r="M8"/>
  <c r="M9"/>
  <c r="M10"/>
  <c r="M11"/>
  <c r="M12"/>
  <c r="M13"/>
  <c r="M14"/>
  <c r="M15"/>
  <c r="M16"/>
  <c r="M17"/>
  <c r="M18"/>
  <c r="M19"/>
  <c r="M20"/>
  <c r="U4" i="25"/>
  <c r="E6"/>
  <c r="H9"/>
  <c r="H10"/>
  <c r="H11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T20"/>
  <c r="D20"/>
  <c r="C20" s="1"/>
  <c r="U20"/>
  <c r="E20" s="1"/>
  <c r="V20"/>
  <c r="F20" s="1"/>
  <c r="W20"/>
  <c r="G20" s="1"/>
  <c r="BX20" s="1"/>
  <c r="X20"/>
  <c r="H20"/>
  <c r="Y20"/>
  <c r="Z20"/>
  <c r="AA20"/>
  <c r="AB20"/>
  <c r="AC20"/>
  <c r="AD20"/>
  <c r="AE20"/>
  <c r="AF20"/>
  <c r="AG20"/>
  <c r="AH20"/>
  <c r="J20" s="1"/>
  <c r="AI20"/>
  <c r="K20" s="1"/>
  <c r="AJ20"/>
  <c r="AK20"/>
  <c r="AL20"/>
  <c r="AM20"/>
  <c r="AN20"/>
  <c r="AO20"/>
  <c r="AP20"/>
  <c r="AQ20"/>
  <c r="AR20"/>
  <c r="AS20"/>
  <c r="AT20"/>
  <c r="AU20"/>
  <c r="AV20"/>
  <c r="AW20"/>
  <c r="I20" s="1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T22"/>
  <c r="U22"/>
  <c r="E22" s="1"/>
  <c r="V22"/>
  <c r="F22"/>
  <c r="W22"/>
  <c r="G22" s="1"/>
  <c r="X22"/>
  <c r="Y22"/>
  <c r="Z22"/>
  <c r="J22"/>
  <c r="AA22"/>
  <c r="AB22"/>
  <c r="D22" s="1"/>
  <c r="C22" s="1"/>
  <c r="AC22"/>
  <c r="AD22"/>
  <c r="AE22"/>
  <c r="AF22"/>
  <c r="AG22"/>
  <c r="I22" s="1"/>
  <c r="AH22"/>
  <c r="AI22"/>
  <c r="K22" s="1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H22" s="1"/>
  <c r="BM22"/>
  <c r="BN22"/>
  <c r="BO22"/>
  <c r="BP22"/>
  <c r="BQ22"/>
  <c r="BR22"/>
  <c r="BS22"/>
  <c r="BT22"/>
  <c r="BU22"/>
  <c r="BV22"/>
  <c r="BW22"/>
  <c r="T23"/>
  <c r="D23"/>
  <c r="C23" s="1"/>
  <c r="U23"/>
  <c r="E23" s="1"/>
  <c r="V23"/>
  <c r="F23" s="1"/>
  <c r="W23"/>
  <c r="G23" s="1"/>
  <c r="BX23" s="1"/>
  <c r="X23"/>
  <c r="H23"/>
  <c r="Y23"/>
  <c r="Z23"/>
  <c r="AA23"/>
  <c r="AB23"/>
  <c r="AC23"/>
  <c r="AD23"/>
  <c r="AE23"/>
  <c r="AF23"/>
  <c r="AG23"/>
  <c r="AH23"/>
  <c r="AI23"/>
  <c r="K23" s="1"/>
  <c r="AJ23"/>
  <c r="AK23"/>
  <c r="AL23"/>
  <c r="AM23"/>
  <c r="AN23"/>
  <c r="AO23"/>
  <c r="AP23"/>
  <c r="J23" s="1"/>
  <c r="AQ23"/>
  <c r="AR23"/>
  <c r="AS23"/>
  <c r="AT23"/>
  <c r="AU23"/>
  <c r="AV23"/>
  <c r="AW23"/>
  <c r="AX23"/>
  <c r="AY23"/>
  <c r="AZ23"/>
  <c r="BA23"/>
  <c r="BB23"/>
  <c r="BC23"/>
  <c r="BD23"/>
  <c r="BE23"/>
  <c r="I23" s="1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T26"/>
  <c r="U26"/>
  <c r="E26" s="1"/>
  <c r="V26"/>
  <c r="F26" s="1"/>
  <c r="W26"/>
  <c r="G26" s="1"/>
  <c r="BX26" s="1"/>
  <c r="X26"/>
  <c r="H26" s="1"/>
  <c r="Y26"/>
  <c r="I26" s="1"/>
  <c r="Z26"/>
  <c r="J26" s="1"/>
  <c r="AA26"/>
  <c r="K26" s="1"/>
  <c r="AB26"/>
  <c r="D26" s="1"/>
  <c r="C26" s="1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T28"/>
  <c r="U28"/>
  <c r="V28"/>
  <c r="W28"/>
  <c r="X28"/>
  <c r="Y28"/>
  <c r="Z28"/>
  <c r="AA28"/>
  <c r="AB28"/>
  <c r="AC28"/>
  <c r="AD28"/>
  <c r="AF28"/>
  <c r="AJ28"/>
  <c r="AK28"/>
  <c r="AL28"/>
  <c r="AN28"/>
  <c r="AR28"/>
  <c r="AS28"/>
  <c r="AT28"/>
  <c r="AV28"/>
  <c r="AZ28"/>
  <c r="BA28"/>
  <c r="BB28"/>
  <c r="BD28"/>
  <c r="BH28"/>
  <c r="BI28"/>
  <c r="BJ28"/>
  <c r="BL28"/>
  <c r="BN28"/>
  <c r="BP28"/>
  <c r="BQ28"/>
  <c r="BR28"/>
  <c r="BT28"/>
  <c r="BV28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M29"/>
  <c r="BN29"/>
  <c r="BO29"/>
  <c r="BP29"/>
  <c r="BQ29"/>
  <c r="BR29"/>
  <c r="BS29"/>
  <c r="BT29"/>
  <c r="BU29"/>
  <c r="BV29"/>
  <c r="BW29"/>
  <c r="L30"/>
  <c r="L38" s="1"/>
  <c r="M30"/>
  <c r="M38" s="1"/>
  <c r="N30"/>
  <c r="N38" s="1"/>
  <c r="O30"/>
  <c r="P30"/>
  <c r="P38" s="1"/>
  <c r="Q30"/>
  <c r="Q38" s="1"/>
  <c r="R30"/>
  <c r="R38" s="1"/>
  <c r="S30"/>
  <c r="S38" s="1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T34"/>
  <c r="U34"/>
  <c r="V34"/>
  <c r="W34"/>
  <c r="G34" s="1"/>
  <c r="BX34" s="1"/>
  <c r="X34"/>
  <c r="Y34"/>
  <c r="Z34"/>
  <c r="AA34"/>
  <c r="K34" s="1"/>
  <c r="AB34"/>
  <c r="D34" s="1"/>
  <c r="C34" s="1"/>
  <c r="AC34"/>
  <c r="AD34"/>
  <c r="F34" s="1"/>
  <c r="AE34"/>
  <c r="AF34"/>
  <c r="AG34"/>
  <c r="AH34"/>
  <c r="J34" s="1"/>
  <c r="AI34"/>
  <c r="AJ34"/>
  <c r="AK34"/>
  <c r="AL34"/>
  <c r="AM34"/>
  <c r="AN34"/>
  <c r="AO34"/>
  <c r="AP34"/>
  <c r="AQ34"/>
  <c r="AR34"/>
  <c r="AS34"/>
  <c r="AT34"/>
  <c r="AU34"/>
  <c r="AV34"/>
  <c r="H34" s="1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T36"/>
  <c r="U36"/>
  <c r="E36" s="1"/>
  <c r="V36"/>
  <c r="W36"/>
  <c r="X36"/>
  <c r="Y36"/>
  <c r="I36" s="1"/>
  <c r="Z36"/>
  <c r="AA36"/>
  <c r="K36" s="1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C42"/>
  <c r="I34"/>
  <c r="E34"/>
  <c r="H36"/>
  <c r="D36"/>
  <c r="C36"/>
  <c r="G36"/>
  <c r="BX36"/>
  <c r="J12" i="28"/>
  <c r="H2"/>
  <c r="E20"/>
  <c r="G20"/>
  <c r="I18"/>
  <c r="I8"/>
  <c r="D9"/>
  <c r="H16"/>
  <c r="B15" i="34"/>
  <c r="B10"/>
  <c r="B7"/>
  <c r="E23" i="28"/>
  <c r="J11"/>
  <c r="J25"/>
  <c r="F14"/>
  <c r="D15"/>
  <c r="B16" i="34"/>
  <c r="H19" i="28"/>
  <c r="B20" i="34"/>
  <c r="D3" i="28"/>
  <c r="E4"/>
  <c r="G8"/>
  <c r="H23"/>
  <c r="B24" i="34"/>
  <c r="J22" i="28"/>
  <c r="B8" i="34"/>
  <c r="E10" i="28"/>
  <c r="H25"/>
  <c r="E9"/>
  <c r="J10"/>
  <c r="J15"/>
  <c r="G13"/>
  <c r="J19"/>
  <c r="D17"/>
  <c r="J13"/>
  <c r="J9"/>
  <c r="G22"/>
  <c r="F15"/>
  <c r="I5"/>
  <c r="I24"/>
  <c r="F22"/>
  <c r="H3"/>
  <c r="G23"/>
  <c r="H24"/>
  <c r="H15"/>
  <c r="D11"/>
  <c r="D5"/>
  <c r="D22"/>
  <c r="G17"/>
  <c r="F24"/>
  <c r="E17"/>
  <c r="H6"/>
  <c r="B26" i="34"/>
  <c r="I23" i="28"/>
  <c r="E22"/>
  <c r="F21"/>
  <c r="D25"/>
  <c r="D18"/>
  <c r="F7"/>
  <c r="E8"/>
  <c r="J16"/>
  <c r="G19"/>
  <c r="E7"/>
  <c r="H22"/>
  <c r="F5"/>
  <c r="J4"/>
  <c r="I17"/>
  <c r="J17"/>
  <c r="E11"/>
  <c r="E5"/>
  <c r="F25"/>
  <c r="I16"/>
  <c r="G10"/>
  <c r="D12"/>
  <c r="I14"/>
  <c r="E19"/>
  <c r="G12"/>
  <c r="I22"/>
  <c r="G6"/>
  <c r="B23" i="34"/>
  <c r="D24" i="28"/>
  <c r="B9" i="34"/>
  <c r="I10" i="28"/>
  <c r="J7"/>
  <c r="B3" i="34"/>
  <c r="G7" i="28"/>
  <c r="F16"/>
  <c r="D14"/>
  <c r="G9"/>
  <c r="E12"/>
  <c r="I2"/>
  <c r="H11"/>
  <c r="I9"/>
  <c r="E15"/>
  <c r="J8"/>
  <c r="E16"/>
  <c r="F23"/>
  <c r="H7"/>
  <c r="D8"/>
  <c r="B5" i="34"/>
  <c r="I20" i="28"/>
  <c r="J24"/>
  <c r="H9"/>
  <c r="G11"/>
  <c r="F10"/>
  <c r="G2"/>
  <c r="B14" i="34"/>
  <c r="H13" i="28"/>
  <c r="J23"/>
  <c r="G3"/>
  <c r="D23"/>
  <c r="B21" i="34"/>
  <c r="E2" i="28"/>
  <c r="F9"/>
  <c r="I6"/>
  <c r="I7"/>
  <c r="I25"/>
  <c r="D7"/>
  <c r="J18"/>
  <c r="F17"/>
  <c r="E25"/>
  <c r="B6" i="34"/>
  <c r="G24" i="28"/>
  <c r="G15"/>
  <c r="E18"/>
  <c r="G4"/>
  <c r="H5"/>
  <c r="D2"/>
  <c r="H21"/>
  <c r="J5"/>
  <c r="E13"/>
  <c r="F6"/>
  <c r="D20"/>
  <c r="C13"/>
  <c r="B13" i="34"/>
  <c r="I12" i="28"/>
  <c r="B17" i="34"/>
  <c r="H8" i="28"/>
  <c r="E24"/>
  <c r="J14"/>
  <c r="F18"/>
  <c r="F11"/>
  <c r="D21"/>
  <c r="G5"/>
  <c r="J3"/>
  <c r="B11" i="34"/>
  <c r="I4" i="28"/>
  <c r="F4"/>
  <c r="I21"/>
  <c r="F20"/>
  <c r="F13"/>
  <c r="D13"/>
  <c r="B12" i="34"/>
  <c r="G25" i="28"/>
  <c r="G18"/>
  <c r="H12"/>
  <c r="D4"/>
  <c r="I15"/>
  <c r="E6"/>
  <c r="D6"/>
  <c r="B4" i="34"/>
  <c r="G16" i="28"/>
  <c r="H17"/>
  <c r="F19"/>
  <c r="E21"/>
  <c r="I13"/>
  <c r="F2"/>
  <c r="B25" i="34"/>
  <c r="D10" i="28"/>
  <c r="H4"/>
  <c r="E14"/>
  <c r="H20"/>
  <c r="B18" i="34"/>
  <c r="D19" i="28"/>
  <c r="F12"/>
  <c r="F3"/>
  <c r="J2"/>
  <c r="H14"/>
  <c r="G14"/>
  <c r="J20"/>
  <c r="G21"/>
  <c r="D16"/>
  <c r="B19" i="34"/>
  <c r="J6" i="28"/>
  <c r="H10"/>
  <c r="I19"/>
  <c r="E3"/>
  <c r="H18"/>
  <c r="I3"/>
  <c r="I11"/>
  <c r="C18"/>
  <c r="J21"/>
  <c r="F8"/>
  <c r="B22" i="34"/>
  <c r="J24" i="25" l="1"/>
  <c r="H24"/>
  <c r="K24"/>
  <c r="E24"/>
  <c r="D24"/>
  <c r="C24" s="1"/>
  <c r="F24"/>
  <c r="I24"/>
  <c r="G24"/>
  <c r="J27"/>
  <c r="F27"/>
  <c r="H27"/>
  <c r="K27"/>
  <c r="G27"/>
  <c r="D27"/>
  <c r="C27" s="1"/>
  <c r="E27"/>
  <c r="I27"/>
  <c r="D25"/>
  <c r="C25" s="1"/>
  <c r="H25"/>
  <c r="E25"/>
  <c r="F25"/>
  <c r="I25"/>
  <c r="J25"/>
  <c r="K25"/>
  <c r="G25"/>
  <c r="H29"/>
  <c r="D29"/>
  <c r="C29" s="1"/>
  <c r="K29"/>
  <c r="E29"/>
  <c r="I29"/>
  <c r="J29"/>
  <c r="F29"/>
  <c r="G29"/>
  <c r="K14"/>
  <c r="G14"/>
  <c r="D14"/>
  <c r="C14" s="1"/>
  <c r="H14"/>
  <c r="I14"/>
  <c r="E14"/>
  <c r="J14"/>
  <c r="F14"/>
  <c r="K35"/>
  <c r="H35"/>
  <c r="D35"/>
  <c r="C35" s="1"/>
  <c r="G35"/>
  <c r="E35"/>
  <c r="I35"/>
  <c r="F35"/>
  <c r="J35"/>
  <c r="F33"/>
  <c r="J33"/>
  <c r="K33"/>
  <c r="G33"/>
  <c r="H33"/>
  <c r="D33"/>
  <c r="C33" s="1"/>
  <c r="I33"/>
  <c r="E33"/>
  <c r="E32"/>
  <c r="F32"/>
  <c r="J32"/>
  <c r="I32"/>
  <c r="G32"/>
  <c r="K32"/>
  <c r="D32"/>
  <c r="C32" s="1"/>
  <c r="H32"/>
  <c r="K37"/>
  <c r="J36"/>
  <c r="F36"/>
  <c r="D37"/>
  <c r="C37" s="1"/>
  <c r="F37"/>
  <c r="E37"/>
  <c r="H37"/>
  <c r="J37"/>
  <c r="G37"/>
  <c r="I37"/>
  <c r="G31"/>
  <c r="I31"/>
  <c r="F31"/>
  <c r="J31"/>
  <c r="K31"/>
  <c r="D31"/>
  <c r="C31" s="1"/>
  <c r="H31"/>
  <c r="E31"/>
  <c r="BU28"/>
  <c r="BU38" s="1"/>
  <c r="BM28"/>
  <c r="BM38" s="1"/>
  <c r="BE28"/>
  <c r="AW28"/>
  <c r="AO28"/>
  <c r="AO38" s="1"/>
  <c r="AG28"/>
  <c r="E28"/>
  <c r="D28"/>
  <c r="C28" s="1"/>
  <c r="AH28"/>
  <c r="AH38" s="1"/>
  <c r="F28"/>
  <c r="H28"/>
  <c r="BF28"/>
  <c r="BF38" s="1"/>
  <c r="AX28"/>
  <c r="AX38" s="1"/>
  <c r="AP28"/>
  <c r="BW28"/>
  <c r="BW38" s="1"/>
  <c r="BO28"/>
  <c r="BO38" s="1"/>
  <c r="BG28"/>
  <c r="BG38" s="1"/>
  <c r="AY28"/>
  <c r="AQ28"/>
  <c r="AQ38" s="1"/>
  <c r="AI28"/>
  <c r="G28"/>
  <c r="F18"/>
  <c r="J18"/>
  <c r="K18"/>
  <c r="G18"/>
  <c r="D18"/>
  <c r="C18" s="1"/>
  <c r="H18"/>
  <c r="I18"/>
  <c r="E18"/>
  <c r="BX22"/>
  <c r="BX14"/>
  <c r="I19"/>
  <c r="J19"/>
  <c r="F19"/>
  <c r="G19"/>
  <c r="BX19" s="1"/>
  <c r="K19"/>
  <c r="H19"/>
  <c r="D19"/>
  <c r="C19" s="1"/>
  <c r="E19"/>
  <c r="E21"/>
  <c r="D21"/>
  <c r="C21" s="1"/>
  <c r="G21"/>
  <c r="H21"/>
  <c r="I21"/>
  <c r="J21"/>
  <c r="K21"/>
  <c r="F21"/>
  <c r="J17"/>
  <c r="H17"/>
  <c r="F17"/>
  <c r="I17"/>
  <c r="G17"/>
  <c r="D17"/>
  <c r="C17" s="1"/>
  <c r="K17"/>
  <c r="E17"/>
  <c r="I15"/>
  <c r="J15"/>
  <c r="F15"/>
  <c r="G15"/>
  <c r="K15"/>
  <c r="H15"/>
  <c r="D15"/>
  <c r="C15" s="1"/>
  <c r="E15"/>
  <c r="BQ38"/>
  <c r="BI38"/>
  <c r="V38"/>
  <c r="W38"/>
  <c r="E16"/>
  <c r="BT38"/>
  <c r="BP38"/>
  <c r="BL38"/>
  <c r="BH38"/>
  <c r="G16"/>
  <c r="K16"/>
  <c r="BV38"/>
  <c r="BR38"/>
  <c r="BN38"/>
  <c r="BJ38"/>
  <c r="BA38"/>
  <c r="AW38"/>
  <c r="AS38"/>
  <c r="AK38"/>
  <c r="AG38"/>
  <c r="AC38"/>
  <c r="H16"/>
  <c r="I16"/>
  <c r="BS38"/>
  <c r="BK38"/>
  <c r="BC38"/>
  <c r="AY38"/>
  <c r="AU38"/>
  <c r="AM38"/>
  <c r="AE38"/>
  <c r="AA38"/>
  <c r="F16"/>
  <c r="J16"/>
  <c r="D16"/>
  <c r="C16" s="1"/>
  <c r="BB38"/>
  <c r="AP38"/>
  <c r="AL38"/>
  <c r="AD38"/>
  <c r="Z38"/>
  <c r="BD38"/>
  <c r="AZ38"/>
  <c r="AV38"/>
  <c r="AR38"/>
  <c r="AN38"/>
  <c r="AJ38"/>
  <c r="AF38"/>
  <c r="AB38"/>
  <c r="X38"/>
  <c r="T38"/>
  <c r="BE38"/>
  <c r="I30"/>
  <c r="E30"/>
  <c r="F30"/>
  <c r="Y38"/>
  <c r="G30"/>
  <c r="H30"/>
  <c r="K30"/>
  <c r="J30"/>
  <c r="AT38"/>
  <c r="U38"/>
  <c r="O38"/>
  <c r="D30"/>
  <c r="B18" i="28"/>
  <c r="B22"/>
  <c r="B21"/>
  <c r="F26"/>
  <c r="B12"/>
  <c r="B5"/>
  <c r="B11"/>
  <c r="G12" i="34"/>
  <c r="C12"/>
  <c r="M12"/>
  <c r="D12"/>
  <c r="K12"/>
  <c r="E12"/>
  <c r="F12"/>
  <c r="I12"/>
  <c r="O12"/>
  <c r="L12"/>
  <c r="H12"/>
  <c r="J12"/>
  <c r="N12"/>
  <c r="E26" i="28"/>
  <c r="J26"/>
  <c r="B17"/>
  <c r="B27" i="34"/>
  <c r="C15"/>
  <c r="I15"/>
  <c r="O15"/>
  <c r="M15"/>
  <c r="J15"/>
  <c r="E15"/>
  <c r="G15"/>
  <c r="D15"/>
  <c r="K15"/>
  <c r="L15"/>
  <c r="F15"/>
  <c r="N15"/>
  <c r="H15"/>
  <c r="B3" i="28"/>
  <c r="B23"/>
  <c r="B8"/>
  <c r="I26"/>
  <c r="B9"/>
  <c r="B19"/>
  <c r="C26"/>
  <c r="B13"/>
  <c r="C9" i="34"/>
  <c r="D9"/>
  <c r="G9"/>
  <c r="H9"/>
  <c r="M9"/>
  <c r="E9"/>
  <c r="N9"/>
  <c r="L9"/>
  <c r="J9"/>
  <c r="F9"/>
  <c r="O9"/>
  <c r="K9"/>
  <c r="I9"/>
  <c r="B6" i="28"/>
  <c r="B20"/>
  <c r="B25"/>
  <c r="B24"/>
  <c r="B15"/>
  <c r="D23" i="34"/>
  <c r="N23"/>
  <c r="O23"/>
  <c r="F23"/>
  <c r="C23"/>
  <c r="J23"/>
  <c r="K23"/>
  <c r="E23"/>
  <c r="M23"/>
  <c r="G23"/>
  <c r="L23"/>
  <c r="I23"/>
  <c r="H23"/>
  <c r="B16" i="28"/>
  <c r="K11" i="34"/>
  <c r="L11"/>
  <c r="M11"/>
  <c r="E11"/>
  <c r="O11"/>
  <c r="D11"/>
  <c r="I11"/>
  <c r="J11"/>
  <c r="H11"/>
  <c r="C11"/>
  <c r="N11"/>
  <c r="G11"/>
  <c r="F11"/>
  <c r="G26" i="28"/>
  <c r="B4"/>
  <c r="B7"/>
  <c r="H26"/>
  <c r="B10"/>
  <c r="B14"/>
  <c r="B2"/>
  <c r="D26"/>
  <c r="O13" i="34"/>
  <c r="E13"/>
  <c r="N16"/>
  <c r="C16"/>
  <c r="I14"/>
  <c r="N14"/>
  <c r="E18"/>
  <c r="I18"/>
  <c r="E3"/>
  <c r="O3"/>
  <c r="G24"/>
  <c r="K24"/>
  <c r="O22"/>
  <c r="I22"/>
  <c r="N21"/>
  <c r="M21"/>
  <c r="K26"/>
  <c r="G26"/>
  <c r="O20"/>
  <c r="M20"/>
  <c r="G17"/>
  <c r="O17"/>
  <c r="E7"/>
  <c r="M7"/>
  <c r="C6"/>
  <c r="E19"/>
  <c r="K10"/>
  <c r="O4"/>
  <c r="K25"/>
  <c r="O10"/>
  <c r="M5"/>
  <c r="M6"/>
  <c r="N25"/>
  <c r="G10"/>
  <c r="G4"/>
  <c r="O19"/>
  <c r="I10"/>
  <c r="C19"/>
  <c r="I24"/>
  <c r="I21"/>
  <c r="M26"/>
  <c r="N20"/>
  <c r="I17"/>
  <c r="C7"/>
  <c r="G5"/>
  <c r="I6"/>
  <c r="N19"/>
  <c r="O25"/>
  <c r="K6"/>
  <c r="K19"/>
  <c r="K22"/>
  <c r="K20"/>
  <c r="O7"/>
  <c r="E8"/>
  <c r="K5"/>
  <c r="C25"/>
  <c r="N8"/>
  <c r="C5"/>
  <c r="G25"/>
  <c r="M13"/>
  <c r="K13"/>
  <c r="M16"/>
  <c r="I16"/>
  <c r="C14"/>
  <c r="E14"/>
  <c r="M18"/>
  <c r="K18"/>
  <c r="G3"/>
  <c r="K3"/>
  <c r="M24"/>
  <c r="O24"/>
  <c r="C22"/>
  <c r="N22"/>
  <c r="O21"/>
  <c r="E21"/>
  <c r="O26"/>
  <c r="I26"/>
  <c r="C20"/>
  <c r="G20"/>
  <c r="N17"/>
  <c r="K17"/>
  <c r="K7"/>
  <c r="G7"/>
  <c r="N10"/>
  <c r="I19"/>
  <c r="M10"/>
  <c r="N4"/>
  <c r="I25"/>
  <c r="K8"/>
  <c r="E4"/>
  <c r="G8"/>
  <c r="G19"/>
  <c r="E10"/>
  <c r="C4"/>
  <c r="M19"/>
  <c r="M8"/>
  <c r="I5"/>
  <c r="E24"/>
  <c r="E22"/>
  <c r="G21"/>
  <c r="E26"/>
  <c r="C17"/>
  <c r="N7"/>
  <c r="O8"/>
  <c r="O5"/>
  <c r="N6"/>
  <c r="I8"/>
  <c r="E5"/>
  <c r="I4"/>
  <c r="C13"/>
  <c r="G16"/>
  <c r="G14"/>
  <c r="N18"/>
  <c r="N3"/>
  <c r="M22"/>
  <c r="C21"/>
  <c r="N26"/>
  <c r="C26"/>
  <c r="E20"/>
  <c r="E17"/>
  <c r="I7"/>
  <c r="M4"/>
  <c r="E6"/>
  <c r="C10"/>
  <c r="K4"/>
  <c r="G6"/>
  <c r="O6"/>
  <c r="N13"/>
  <c r="G13"/>
  <c r="K16"/>
  <c r="O16"/>
  <c r="M14"/>
  <c r="O14"/>
  <c r="C18"/>
  <c r="G18"/>
  <c r="I3"/>
  <c r="C3"/>
  <c r="G22"/>
  <c r="I20"/>
  <c r="C8"/>
  <c r="N5"/>
  <c r="I13"/>
  <c r="E16"/>
  <c r="K14"/>
  <c r="O18"/>
  <c r="M3"/>
  <c r="N24"/>
  <c r="C24"/>
  <c r="K21"/>
  <c r="M17"/>
  <c r="M25"/>
  <c r="E25"/>
  <c r="BX24" i="25" l="1"/>
  <c r="J13" i="34"/>
  <c r="F13"/>
  <c r="L13"/>
  <c r="H13"/>
  <c r="D13"/>
  <c r="BX27" i="25"/>
  <c r="F16" i="34"/>
  <c r="D16"/>
  <c r="J16"/>
  <c r="H16"/>
  <c r="L16"/>
  <c r="BX25" i="25"/>
  <c r="L14" i="34"/>
  <c r="F14"/>
  <c r="H14"/>
  <c r="J14"/>
  <c r="D14"/>
  <c r="BX29" i="25"/>
  <c r="J18" i="34"/>
  <c r="L18"/>
  <c r="H18"/>
  <c r="F18"/>
  <c r="D18"/>
  <c r="L3"/>
  <c r="D3"/>
  <c r="F3"/>
  <c r="H3"/>
  <c r="J3"/>
  <c r="D24"/>
  <c r="L24"/>
  <c r="J24"/>
  <c r="H24"/>
  <c r="F24"/>
  <c r="BX35" i="25"/>
  <c r="BX33"/>
  <c r="L22" i="34"/>
  <c r="J22"/>
  <c r="F22"/>
  <c r="D22"/>
  <c r="H22"/>
  <c r="L21"/>
  <c r="F21"/>
  <c r="H21"/>
  <c r="D21"/>
  <c r="J21"/>
  <c r="BX32" i="25"/>
  <c r="BX37"/>
  <c r="D26" i="34"/>
  <c r="H26"/>
  <c r="J26"/>
  <c r="F26"/>
  <c r="L26"/>
  <c r="BX31" i="25"/>
  <c r="L20" i="34"/>
  <c r="H20"/>
  <c r="J20"/>
  <c r="F20"/>
  <c r="D20"/>
  <c r="I28" i="25"/>
  <c r="I38" s="1"/>
  <c r="J28"/>
  <c r="J38" s="1"/>
  <c r="BX28"/>
  <c r="K28"/>
  <c r="K38" s="1"/>
  <c r="L17" i="34"/>
  <c r="J17"/>
  <c r="F17"/>
  <c r="H17"/>
  <c r="D17"/>
  <c r="AI38" i="25"/>
  <c r="J7" i="34"/>
  <c r="H7"/>
  <c r="D7"/>
  <c r="F7"/>
  <c r="L7"/>
  <c r="BX18" i="25"/>
  <c r="BX15"/>
  <c r="L8" i="34"/>
  <c r="J8"/>
  <c r="D8"/>
  <c r="F8"/>
  <c r="H8"/>
  <c r="BX21" i="25"/>
  <c r="J10" i="34"/>
  <c r="L10"/>
  <c r="D10"/>
  <c r="H10"/>
  <c r="F10"/>
  <c r="BX17" i="25"/>
  <c r="D6" i="34"/>
  <c r="J6"/>
  <c r="L6"/>
  <c r="F6"/>
  <c r="H6"/>
  <c r="J4"/>
  <c r="L4"/>
  <c r="H4"/>
  <c r="F4"/>
  <c r="D4"/>
  <c r="G38" i="25"/>
  <c r="H38"/>
  <c r="E38"/>
  <c r="BX16"/>
  <c r="F38"/>
  <c r="J5" i="34"/>
  <c r="F5"/>
  <c r="H5"/>
  <c r="L5"/>
  <c r="D5"/>
  <c r="BX30" i="25"/>
  <c r="D38"/>
  <c r="C30"/>
  <c r="H25" i="34"/>
  <c r="L19"/>
  <c r="F19"/>
  <c r="F25"/>
  <c r="D19"/>
  <c r="L25"/>
  <c r="H19"/>
  <c r="J19"/>
  <c r="J25"/>
  <c r="D25"/>
  <c r="C46" i="28"/>
  <c r="C37"/>
  <c r="C33"/>
  <c r="C42"/>
  <c r="I27" i="34"/>
  <c r="J27" s="1"/>
  <c r="C31" i="28"/>
  <c r="C40"/>
  <c r="C35"/>
  <c r="C44"/>
  <c r="C43"/>
  <c r="C34"/>
  <c r="C39"/>
  <c r="C30"/>
  <c r="C45"/>
  <c r="C36"/>
  <c r="E27" i="34"/>
  <c r="F27" s="1"/>
  <c r="C27"/>
  <c r="D27" s="1"/>
  <c r="C41" i="28"/>
  <c r="C32"/>
  <c r="G27" i="34"/>
  <c r="H27" s="1"/>
  <c r="B26" i="28"/>
  <c r="K27" i="34"/>
  <c r="L27" s="1"/>
  <c r="C29" i="28" l="1"/>
  <c r="C38"/>
</calcChain>
</file>

<file path=xl/comments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N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Столбец статус имеет два значения: призер или победитель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N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Столбец статус имеет два значения: призер или победитель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<sst xmlns="http://schemas.openxmlformats.org/spreadsheetml/2006/main" count="6314" uniqueCount="712">
  <si>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</si>
  <si>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</si>
  <si>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</si>
  <si>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</si>
  <si>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</si>
  <si>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</si>
  <si>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</si>
  <si>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</si>
  <si>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</si>
  <si>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</si>
  <si>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</si>
  <si>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</si>
  <si>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</si>
  <si>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</si>
  <si>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</si>
  <si>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</si>
  <si>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</si>
  <si>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</si>
  <si>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</si>
  <si>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</si>
  <si>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</si>
  <si>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</si>
  <si>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</si>
  <si>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</si>
  <si>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</si>
  <si>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</si>
  <si>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</si>
  <si>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</si>
  <si>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</si>
  <si>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</si>
  <si>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</si>
  <si>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</si>
  <si>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</si>
  <si>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</si>
  <si>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</si>
  <si>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</si>
  <si>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</si>
  <si>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</si>
  <si>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</si>
  <si>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</si>
  <si>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</si>
  <si>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</si>
  <si>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</si>
  <si>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</si>
  <si>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</si>
  <si>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</si>
  <si>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</si>
  <si>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</si>
  <si>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</si>
  <si>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</si>
  <si>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</si>
  <si>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</si>
  <si>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</si>
  <si>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</si>
  <si>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</si>
  <si>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</si>
  <si>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</si>
  <si>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</si>
  <si>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</si>
  <si>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</si>
  <si>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</si>
  <si>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Всего</t>
  </si>
  <si>
    <t>Английский_язык</t>
  </si>
  <si>
    <r>
      <t>Русский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язык</t>
    </r>
  </si>
  <si>
    <r>
      <t>Физическая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культура</t>
    </r>
  </si>
  <si>
    <r>
      <t>Немецкий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язык</t>
    </r>
  </si>
  <si>
    <r>
      <t>Французский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язык</t>
    </r>
  </si>
  <si>
    <t>Средний % выполнения заданий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</si>
  <si>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</si>
  <si>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</si>
  <si>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</si>
  <si>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</si>
  <si>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</si>
  <si>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</si>
  <si>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</si>
  <si>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</si>
  <si>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</si>
  <si>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</si>
  <si>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</si>
  <si>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</si>
  <si>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</si>
  <si>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</si>
  <si>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</si>
  <si>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</si>
  <si>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(Код ОУ по ЕГЭ)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</si>
  <si>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</si>
  <si>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</si>
  <si>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</si>
  <si>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</si>
  <si>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</si>
  <si>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язык</t>
    </r>
  </si>
  <si>
    <r>
      <t>Итальянский</t>
    </r>
    <r>
      <rPr>
        <sz val="10"/>
        <color indexed="9"/>
        <rFont val="Arial Cyr"/>
        <charset val="204"/>
      </rPr>
      <t>_</t>
    </r>
    <r>
      <rPr>
        <sz val="10"/>
        <rFont val="Arial Cyr"/>
        <family val="2"/>
        <charset val="204"/>
      </rPr>
      <t>язык</t>
    </r>
  </si>
  <si>
    <t>Всего учеников 4-11 кл.</t>
  </si>
  <si>
    <t>4 класс</t>
  </si>
  <si>
    <t>4 кл</t>
  </si>
  <si>
    <t>6 кл</t>
  </si>
  <si>
    <t>IT-направление</t>
  </si>
  <si>
    <t>Специализированные_классы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</si>
  <si>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</si>
  <si>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</si>
  <si>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</si>
  <si>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</si>
  <si>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</si>
  <si>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</si>
  <si>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</si>
  <si>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</si>
  <si>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</si>
  <si>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</si>
  <si>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</si>
  <si>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</si>
  <si>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</si>
  <si>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</si>
  <si>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</si>
  <si>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</si>
  <si>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</si>
  <si>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Испанский язык</t>
  </si>
  <si>
    <t>Испанский_язык</t>
  </si>
  <si>
    <t xml:space="preserve">Кол-во </t>
  </si>
  <si>
    <t xml:space="preserve">% </t>
  </si>
  <si>
    <t>Количество и процент учащихся, набравших 0% от максимального балла</t>
  </si>
  <si>
    <t>Количество и процент учащихся, набравших от 0% до 25% от максимального балла*</t>
  </si>
  <si>
    <t>Количество и процент учащихся, набравших от 25% до 50% от максимального балла*</t>
  </si>
  <si>
    <t>Количество и процент учащихся, набравших от 50% до 75% от максимального балла*</t>
  </si>
  <si>
    <t>Количество и процент учащихся, набравших от 75% до 100% от максимального балла*</t>
  </si>
  <si>
    <t>* "от" не включается нижняя граница диапазона, "до" включается верхняя граница диапазона</t>
  </si>
  <si>
    <t>Ограниченные возможности здоровья (имеются/ не имеются)</t>
  </si>
  <si>
    <t>имеются</t>
  </si>
  <si>
    <t>не имеются</t>
  </si>
  <si>
    <t>В т.ч. с ОВЗ</t>
  </si>
  <si>
    <t>В т.ч. призеры с ОВЗ</t>
  </si>
  <si>
    <t>В т.ч. победители с ОВЗ</t>
  </si>
  <si>
    <t>В т.ч. обучающиеся с ОВЗ</t>
  </si>
  <si>
    <t>математика</t>
  </si>
  <si>
    <t>физика</t>
  </si>
  <si>
    <t>химия</t>
  </si>
  <si>
    <t>Инженерно-технологический</t>
  </si>
  <si>
    <t>Инженерно-исследовательский</t>
  </si>
  <si>
    <t>Проектный</t>
  </si>
  <si>
    <t>Инженерный</t>
  </si>
  <si>
    <t>биология</t>
  </si>
  <si>
    <t>биотехнологический</t>
  </si>
  <si>
    <t>ОВЗ</t>
  </si>
  <si>
    <t xml:space="preserve">(инженерно-естественнонаучный) мультимодульный </t>
  </si>
  <si>
    <t xml:space="preserve">(агро-медико-технологический) мультимодульный </t>
  </si>
  <si>
    <t xml:space="preserve">(инженерно-био-технологический) мультимодульный </t>
  </si>
  <si>
    <t xml:space="preserve">(медико-технологический) мультимодульный  </t>
  </si>
  <si>
    <t xml:space="preserve">(инженерно-техгологический и IT) мультимодульный </t>
  </si>
  <si>
    <t>Код</t>
  </si>
  <si>
    <t>ОУ</t>
  </si>
  <si>
    <t>МАОУ «Гимназия № 15»</t>
  </si>
  <si>
    <t>МБОУ АКЛ имени Ю.В. Кондратюка</t>
  </si>
  <si>
    <t>МБОУ В(С)Ш № 15</t>
  </si>
  <si>
    <t>МБОУ Лицей № 113</t>
  </si>
  <si>
    <t>МБОУ СОШ № 111</t>
  </si>
  <si>
    <t>МБОУ СОШ № 153</t>
  </si>
  <si>
    <t>МБОУ СОШ № 169</t>
  </si>
  <si>
    <t>МБОУ СОШ № 177</t>
  </si>
  <si>
    <t>МБОУ СОШ № 178</t>
  </si>
  <si>
    <t>МБОУ СОШ № 18</t>
  </si>
  <si>
    <t>МБОУ СОШ № 197</t>
  </si>
  <si>
    <t>МБОУ СОШ № 36</t>
  </si>
  <si>
    <t>МБОУ СОШ №57</t>
  </si>
  <si>
    <t>МБОУ СОШ № 59</t>
  </si>
  <si>
    <t>МБОУ СОШ № 7</t>
  </si>
  <si>
    <t>МБОУ СОШ № 71</t>
  </si>
  <si>
    <t>МБОУ СОШ № 82</t>
  </si>
  <si>
    <t>МБОУ СОШ № 87</t>
  </si>
  <si>
    <t>МБОУ СОШ № 96 с углубленным изучением английского языка</t>
  </si>
  <si>
    <t>МКОУ Прогимназия «Зимородок»</t>
  </si>
  <si>
    <t>ЧОУ «ОР АВНЕР»</t>
  </si>
  <si>
    <t xml:space="preserve">Пушкарева </t>
  </si>
  <si>
    <t>Алина</t>
  </si>
  <si>
    <t>Десятинникова</t>
  </si>
  <si>
    <t>Виктория</t>
  </si>
  <si>
    <t>Витальевна</t>
  </si>
  <si>
    <t>Александровна</t>
  </si>
  <si>
    <t>Смирнова</t>
  </si>
  <si>
    <t>Елизавета</t>
  </si>
  <si>
    <t>Антоновна</t>
  </si>
  <si>
    <t>Генов</t>
  </si>
  <si>
    <t>Даниил</t>
  </si>
  <si>
    <t>Алексеевич</t>
  </si>
  <si>
    <t>Иванова</t>
  </si>
  <si>
    <t>Юлия</t>
  </si>
  <si>
    <t>Быргазов</t>
  </si>
  <si>
    <t>Захар</t>
  </si>
  <si>
    <t>Александрович</t>
  </si>
  <si>
    <t>Ковальчук</t>
  </si>
  <si>
    <t>Александр</t>
  </si>
  <si>
    <t>Никитич</t>
  </si>
  <si>
    <t>Рудзейт</t>
  </si>
  <si>
    <t>Ларкина</t>
  </si>
  <si>
    <t>София</t>
  </si>
  <si>
    <t>Никитична</t>
  </si>
  <si>
    <t>Умарова</t>
  </si>
  <si>
    <t>Руслановна</t>
  </si>
  <si>
    <t>Васильевых</t>
  </si>
  <si>
    <t>Диана</t>
  </si>
  <si>
    <t>Дмитриевна</t>
  </si>
  <si>
    <t>Склярова</t>
  </si>
  <si>
    <t>Анастасия</t>
  </si>
  <si>
    <t>Шаров</t>
  </si>
  <si>
    <t>Васильевич</t>
  </si>
  <si>
    <t>Борникова</t>
  </si>
  <si>
    <t>Валерия</t>
  </si>
  <si>
    <t>Вячеславовна</t>
  </si>
  <si>
    <t>Романькова</t>
  </si>
  <si>
    <t>Ульяна</t>
  </si>
  <si>
    <t>Леонидовна</t>
  </si>
  <si>
    <t>Булатникова</t>
  </si>
  <si>
    <t>Алексеевна</t>
  </si>
  <si>
    <t>Литовкин</t>
  </si>
  <si>
    <t>Илья</t>
  </si>
  <si>
    <t>Максимович</t>
  </si>
  <si>
    <t>Трахтманн</t>
  </si>
  <si>
    <t>Кирилл</t>
  </si>
  <si>
    <t>Сергеевич</t>
  </si>
  <si>
    <t>Таргонский</t>
  </si>
  <si>
    <t>Константин</t>
  </si>
  <si>
    <t>Марга</t>
  </si>
  <si>
    <t>Андреевна</t>
  </si>
  <si>
    <t>Сафронова</t>
  </si>
  <si>
    <t>Наперова</t>
  </si>
  <si>
    <t>Владимировна</t>
  </si>
  <si>
    <t>Коровина</t>
  </si>
  <si>
    <t>Екатерина</t>
  </si>
  <si>
    <t>Старникова</t>
  </si>
  <si>
    <t>Софья</t>
  </si>
  <si>
    <t>Лавринович</t>
  </si>
  <si>
    <t>Дарья</t>
  </si>
  <si>
    <t>Секисова</t>
  </si>
  <si>
    <t>Морозова</t>
  </si>
  <si>
    <t>Маргарита</t>
  </si>
  <si>
    <t>Евгеньевна</t>
  </si>
  <si>
    <t>Деменская</t>
  </si>
  <si>
    <t>Сергеевна</t>
  </si>
  <si>
    <t>Киричек</t>
  </si>
  <si>
    <t>Ангелина</t>
  </si>
  <si>
    <t>Марина</t>
  </si>
  <si>
    <t>Моисеева</t>
  </si>
  <si>
    <t>Ивановна</t>
  </si>
  <si>
    <t>Лабузова</t>
  </si>
  <si>
    <t>Полина</t>
  </si>
  <si>
    <t>Юрьевна</t>
  </si>
  <si>
    <t>Биктимиров</t>
  </si>
  <si>
    <t>Михаил</t>
  </si>
  <si>
    <t>Евгеньевич</t>
  </si>
  <si>
    <t>Хайнова</t>
  </si>
  <si>
    <t>Алёна</t>
  </si>
  <si>
    <t>Золотаренко</t>
  </si>
  <si>
    <t>Николаевна</t>
  </si>
  <si>
    <t>Колесникова</t>
  </si>
  <si>
    <t>Михайловна</t>
  </si>
  <si>
    <t>Халфина</t>
  </si>
  <si>
    <t>Короткевич</t>
  </si>
  <si>
    <t>Карина</t>
  </si>
  <si>
    <t>Крутикова</t>
  </si>
  <si>
    <t>Кузнецова</t>
  </si>
  <si>
    <t>Елена</t>
  </si>
  <si>
    <t>Соколова</t>
  </si>
  <si>
    <t>Регина</t>
  </si>
  <si>
    <t>Хохуля</t>
  </si>
  <si>
    <t>Литвинов</t>
  </si>
  <si>
    <t>Ксения</t>
  </si>
  <si>
    <t>Нефедьева</t>
  </si>
  <si>
    <t>Железова</t>
  </si>
  <si>
    <t>Уланбековна</t>
  </si>
  <si>
    <t>Мээримай</t>
  </si>
  <si>
    <t>Абылова</t>
  </si>
  <si>
    <t>Максатбекович</t>
  </si>
  <si>
    <t>Исламбек</t>
  </si>
  <si>
    <t>Рысбаева</t>
  </si>
  <si>
    <t>Андрей</t>
  </si>
  <si>
    <t>Кириллов</t>
  </si>
  <si>
    <t>Никита</t>
  </si>
  <si>
    <t>Копржив</t>
  </si>
  <si>
    <t>Ушакова</t>
  </si>
  <si>
    <t>Георгтевна</t>
  </si>
  <si>
    <t>Илонна</t>
  </si>
  <si>
    <t>Сокольцова</t>
  </si>
  <si>
    <t>Заировна</t>
  </si>
  <si>
    <t>Диляра</t>
  </si>
  <si>
    <t>Мирсаидова</t>
  </si>
  <si>
    <t>Викторович</t>
  </si>
  <si>
    <t>Егор</t>
  </si>
  <si>
    <t>Тыртышных</t>
  </si>
  <si>
    <t>Дмитриевич</t>
  </si>
  <si>
    <t>Роман</t>
  </si>
  <si>
    <t>Бутаков</t>
  </si>
  <si>
    <t>Мария</t>
  </si>
  <si>
    <t>Петрова</t>
  </si>
  <si>
    <t>Артёмовна</t>
  </si>
  <si>
    <t>Чечёнкина</t>
  </si>
  <si>
    <t>Ярцева</t>
  </si>
  <si>
    <t>Наталья</t>
  </si>
  <si>
    <t>Максатбековна</t>
  </si>
  <si>
    <t>Бегимай</t>
  </si>
  <si>
    <t>Злата</t>
  </si>
  <si>
    <t>Однорог</t>
  </si>
  <si>
    <t>Додонова</t>
  </si>
  <si>
    <t>Леонова</t>
  </si>
  <si>
    <t>Данила</t>
  </si>
  <si>
    <t>Винокурова</t>
  </si>
  <si>
    <t>Кристина</t>
  </si>
  <si>
    <t>Рысбаев</t>
  </si>
  <si>
    <t>Максамбекович</t>
  </si>
  <si>
    <t>Журабаев</t>
  </si>
  <si>
    <t>Фаезбек</t>
  </si>
  <si>
    <t>Ойбекович</t>
  </si>
  <si>
    <t>Хомутова</t>
  </si>
  <si>
    <t>Клиянова</t>
  </si>
  <si>
    <t>Денисовна</t>
  </si>
  <si>
    <t>Новикова</t>
  </si>
  <si>
    <t>Игоревна</t>
  </si>
  <si>
    <t>Алена</t>
  </si>
  <si>
    <t>Малькова</t>
  </si>
  <si>
    <t>Ольга</t>
  </si>
  <si>
    <t>Степанова</t>
  </si>
  <si>
    <t>Фрыгина</t>
  </si>
  <si>
    <t>Владимирович</t>
  </si>
  <si>
    <t>Владимир</t>
  </si>
  <si>
    <t>Кривошлыков</t>
  </si>
  <si>
    <t>Воробьева</t>
  </si>
  <si>
    <t>Виолетта</t>
  </si>
  <si>
    <t>Кривошлыкова</t>
  </si>
  <si>
    <t>Сысолина</t>
  </si>
  <si>
    <t>Руслан</t>
  </si>
  <si>
    <t xml:space="preserve">Музланов </t>
  </si>
  <si>
    <t>Антонович</t>
  </si>
  <si>
    <t>Иван</t>
  </si>
  <si>
    <t xml:space="preserve">Петрушенко </t>
  </si>
  <si>
    <t>Михайлова</t>
  </si>
  <si>
    <t>Калинин</t>
  </si>
  <si>
    <t>Вадим</t>
  </si>
  <si>
    <t>Вячеславович</t>
  </si>
  <si>
    <t>Моисееева</t>
  </si>
  <si>
    <t>Турдиева</t>
  </si>
  <si>
    <t>Мафтунахона</t>
  </si>
  <si>
    <t>Мавсуфбековна</t>
  </si>
  <si>
    <t>Напёрова</t>
  </si>
  <si>
    <t>Владимирова</t>
  </si>
  <si>
    <t>Шанулина</t>
  </si>
  <si>
    <t>Рахмонов</t>
  </si>
  <si>
    <t>Амриддин</t>
  </si>
  <si>
    <t>Джалолидинович</t>
  </si>
  <si>
    <t>Гамидова</t>
  </si>
  <si>
    <t>Ганира</t>
  </si>
  <si>
    <t>Шамсаддиновна</t>
  </si>
  <si>
    <t>Муратова</t>
  </si>
  <si>
    <t>Федоров</t>
  </si>
  <si>
    <t>Алексей</t>
  </si>
  <si>
    <t>Пушкарева</t>
  </si>
  <si>
    <t xml:space="preserve">Склярова </t>
  </si>
  <si>
    <t xml:space="preserve">Анастасия </t>
  </si>
  <si>
    <t xml:space="preserve">Рудзейт </t>
  </si>
  <si>
    <t xml:space="preserve">Гребнев </t>
  </si>
  <si>
    <t xml:space="preserve">Егор </t>
  </si>
  <si>
    <t>Андреевич</t>
  </si>
  <si>
    <t xml:space="preserve">Зуев </t>
  </si>
  <si>
    <t xml:space="preserve">Геогргий </t>
  </si>
  <si>
    <t xml:space="preserve">Тиунов </t>
  </si>
  <si>
    <t xml:space="preserve">Викторович </t>
  </si>
  <si>
    <t xml:space="preserve">Петрова </t>
  </si>
  <si>
    <t xml:space="preserve">Рысбаева  </t>
  </si>
  <si>
    <t xml:space="preserve">Бегимай </t>
  </si>
  <si>
    <t xml:space="preserve">Максатбековна </t>
  </si>
  <si>
    <t xml:space="preserve">Евдаков </t>
  </si>
  <si>
    <t>Максим</t>
  </si>
  <si>
    <t>Дец</t>
  </si>
  <si>
    <t xml:space="preserve">Артур </t>
  </si>
  <si>
    <t>Никулин</t>
  </si>
  <si>
    <t xml:space="preserve">Александр </t>
  </si>
  <si>
    <t xml:space="preserve">Александрович </t>
  </si>
  <si>
    <t xml:space="preserve">Додонова </t>
  </si>
  <si>
    <t xml:space="preserve">Однорог </t>
  </si>
  <si>
    <t>Ишкова</t>
  </si>
  <si>
    <t xml:space="preserve">Машина </t>
  </si>
  <si>
    <t>Анжелика</t>
  </si>
  <si>
    <t xml:space="preserve">Степанова </t>
  </si>
  <si>
    <t>Тыдыкова</t>
  </si>
  <si>
    <t>Александра</t>
  </si>
  <si>
    <t xml:space="preserve">Косулин </t>
  </si>
  <si>
    <t>Дмитрий</t>
  </si>
  <si>
    <t>Михайлович</t>
  </si>
  <si>
    <t>Шерматалиева</t>
  </si>
  <si>
    <t>Альбина</t>
  </si>
  <si>
    <t>Адылбековна</t>
  </si>
  <si>
    <t>Вершинин</t>
  </si>
  <si>
    <t>Сергей</t>
  </si>
  <si>
    <t>Павлович</t>
  </si>
  <si>
    <t>Шейко</t>
  </si>
  <si>
    <t>Петр</t>
  </si>
  <si>
    <t>Блац</t>
  </si>
  <si>
    <t>Викторовна</t>
  </si>
  <si>
    <t xml:space="preserve">Валюшков </t>
  </si>
  <si>
    <t>Кожаева</t>
  </si>
  <si>
    <t>Валерьевна</t>
  </si>
  <si>
    <t>Самородов</t>
  </si>
  <si>
    <t>Константинович</t>
  </si>
  <si>
    <t xml:space="preserve">Ержуманова </t>
  </si>
  <si>
    <t>Камилла</t>
  </si>
  <si>
    <t>Мейырхановна</t>
  </si>
  <si>
    <t>Соловьев</t>
  </si>
  <si>
    <t>Святослав</t>
  </si>
  <si>
    <t>Мстиславович</t>
  </si>
  <si>
    <t>Деревянко</t>
  </si>
  <si>
    <t>Заев</t>
  </si>
  <si>
    <t xml:space="preserve">Михаил </t>
  </si>
  <si>
    <t xml:space="preserve">Гилев </t>
  </si>
  <si>
    <t xml:space="preserve">Григорий </t>
  </si>
  <si>
    <t>Витальевич</t>
  </si>
  <si>
    <t>Помазуева</t>
  </si>
  <si>
    <t>Дружинина</t>
  </si>
  <si>
    <t>Светлана</t>
  </si>
  <si>
    <t>Печенцова</t>
  </si>
  <si>
    <t>Попова</t>
  </si>
  <si>
    <t>Тюренкова</t>
  </si>
  <si>
    <t>Журба</t>
  </si>
  <si>
    <t>Максимовна</t>
  </si>
  <si>
    <t>Кулышева</t>
  </si>
  <si>
    <t>Вероника</t>
  </si>
  <si>
    <t>Гунбатова</t>
  </si>
  <si>
    <t>Динара</t>
  </si>
  <si>
    <t>Самеддин кызы</t>
  </si>
  <si>
    <t>Тоноян</t>
  </si>
  <si>
    <t>Анаит</t>
  </si>
  <si>
    <t>Самвеловна</t>
  </si>
  <si>
    <t xml:space="preserve">Генов </t>
  </si>
  <si>
    <t>Вышегородцкий</t>
  </si>
  <si>
    <t>Семен</t>
  </si>
  <si>
    <t>Никитин</t>
  </si>
  <si>
    <t>Денис</t>
  </si>
  <si>
    <t>Рохманов</t>
  </si>
  <si>
    <t>Эдуардович</t>
  </si>
  <si>
    <t xml:space="preserve">Самородов </t>
  </si>
  <si>
    <t>Куликова</t>
  </si>
  <si>
    <t xml:space="preserve">Мелехина </t>
  </si>
  <si>
    <t>Самойлик</t>
  </si>
  <si>
    <t>Тамара</t>
  </si>
  <si>
    <t xml:space="preserve">Кошелев </t>
  </si>
  <si>
    <t>Владислав</t>
  </si>
  <si>
    <t>Ковалева</t>
  </si>
  <si>
    <t>Зуев</t>
  </si>
  <si>
    <t>Георгий</t>
  </si>
  <si>
    <t>Винкевич</t>
  </si>
  <si>
    <t>Савельева</t>
  </si>
  <si>
    <t xml:space="preserve">Малькова </t>
  </si>
  <si>
    <t xml:space="preserve">Ничипоренко </t>
  </si>
  <si>
    <t>Махмадова</t>
  </si>
  <si>
    <t>Додархуджаевна</t>
  </si>
  <si>
    <t>Бемолян</t>
  </si>
  <si>
    <t>Роландович</t>
  </si>
  <si>
    <t xml:space="preserve">Фрыгина </t>
  </si>
  <si>
    <t>Мишенин</t>
  </si>
  <si>
    <t>Валюшков</t>
  </si>
  <si>
    <t>Вышегородский</t>
  </si>
  <si>
    <t>Луговой</t>
  </si>
  <si>
    <t xml:space="preserve">Алина </t>
  </si>
  <si>
    <t>Милена</t>
  </si>
  <si>
    <t>Роландовна</t>
  </si>
  <si>
    <t>Фрягина</t>
  </si>
  <si>
    <t>Шашкова</t>
  </si>
  <si>
    <t>Тиунов</t>
  </si>
  <si>
    <t>Сорокин</t>
  </si>
  <si>
    <t>Жахалов</t>
  </si>
  <si>
    <t>МБОУ СОШ № 154</t>
  </si>
  <si>
    <t>МБОУ СОШ № 155</t>
  </si>
  <si>
    <t>МБОУ СОШ № 156</t>
  </si>
  <si>
    <t>Фетисова</t>
  </si>
  <si>
    <t>Эвелина</t>
  </si>
  <si>
    <t>ж</t>
  </si>
  <si>
    <t>Кононенко</t>
  </si>
  <si>
    <t>Константиновна</t>
  </si>
  <si>
    <t>Фаёзбек</t>
  </si>
  <si>
    <t>Касимович</t>
  </si>
  <si>
    <t>м</t>
  </si>
  <si>
    <t>Косарева</t>
  </si>
  <si>
    <t>Вера</t>
  </si>
  <si>
    <t>Швецов</t>
  </si>
  <si>
    <t>Кошелев</t>
  </si>
  <si>
    <t>Деревенских</t>
  </si>
  <si>
    <t>Арина</t>
  </si>
  <si>
    <t>Сенин</t>
  </si>
  <si>
    <t>Лебедева</t>
  </si>
  <si>
    <t>Пыхтеева</t>
  </si>
  <si>
    <t>Татьяна</t>
  </si>
  <si>
    <t>Евдаков</t>
  </si>
  <si>
    <t>Елизаров</t>
  </si>
  <si>
    <t>Логвиненко</t>
  </si>
  <si>
    <t>Джурабаев</t>
  </si>
  <si>
    <t>Тимур</t>
  </si>
  <si>
    <t>Хусаинович</t>
  </si>
  <si>
    <t>Эделина</t>
  </si>
  <si>
    <t>Алесеевна</t>
  </si>
  <si>
    <t>Авдюнин</t>
  </si>
  <si>
    <t>Николаевич</t>
  </si>
  <si>
    <t>Вертяшкин</t>
  </si>
  <si>
    <t>Валерьевич</t>
  </si>
  <si>
    <t>Тонких</t>
  </si>
  <si>
    <t>Данил</t>
  </si>
  <si>
    <t>Мельников</t>
  </si>
  <si>
    <t>Матвей</t>
  </si>
  <si>
    <t>Денисович</t>
  </si>
  <si>
    <t>Елецкий</t>
  </si>
  <si>
    <t>Карпик</t>
  </si>
  <si>
    <t>Игоревич</t>
  </si>
  <si>
    <t>Цуриков</t>
  </si>
  <si>
    <t>Романович</t>
  </si>
  <si>
    <t>Мавтунахон</t>
  </si>
  <si>
    <t>Вадимовна</t>
  </si>
  <si>
    <t>Митина</t>
  </si>
  <si>
    <t>Валешков</t>
  </si>
  <si>
    <t>Петрухин</t>
  </si>
  <si>
    <t>Павел</t>
  </si>
  <si>
    <t>Дмитриевская</t>
  </si>
  <si>
    <t>Евгения</t>
  </si>
  <si>
    <t>Джаломединович</t>
  </si>
  <si>
    <t>Алеулина</t>
  </si>
  <si>
    <t>Бузанова</t>
  </si>
  <si>
    <t>Романовна</t>
  </si>
  <si>
    <t>Фершалов</t>
  </si>
  <si>
    <t>Гилев</t>
  </si>
  <si>
    <t>Григорий</t>
  </si>
  <si>
    <t>Еремеева</t>
  </si>
  <si>
    <t>Гоарик</t>
  </si>
  <si>
    <t>Кокорева</t>
  </si>
  <si>
    <t>Одинара</t>
  </si>
  <si>
    <t>Мигунов</t>
  </si>
  <si>
    <t>Вышегороцкий</t>
  </si>
  <si>
    <t>Власова</t>
  </si>
  <si>
    <t>Карпова</t>
  </si>
  <si>
    <t>Албина</t>
  </si>
  <si>
    <t>Петрушенко</t>
  </si>
  <si>
    <t>Анатольевич</t>
  </si>
  <si>
    <t>Чернявская</t>
  </si>
  <si>
    <t>Ерыгин</t>
  </si>
  <si>
    <t>Вадимович</t>
  </si>
  <si>
    <t>Цибулькин</t>
  </si>
  <si>
    <t>Артур</t>
  </si>
  <si>
    <t>Кураев</t>
  </si>
  <si>
    <t>Музланов</t>
  </si>
  <si>
    <t xml:space="preserve">Кривошлыков </t>
  </si>
  <si>
    <t>Масливцев</t>
  </si>
  <si>
    <t>Артем</t>
  </si>
  <si>
    <t>Черненко</t>
  </si>
  <si>
    <t>Вячеслав</t>
  </si>
  <si>
    <t>Джаллолидилович</t>
  </si>
  <si>
    <t>Новицкая</t>
  </si>
  <si>
    <t xml:space="preserve">Наталья </t>
  </si>
  <si>
    <t>Шлегель</t>
  </si>
  <si>
    <t>Марк</t>
  </si>
  <si>
    <t>Ушаков</t>
  </si>
  <si>
    <t>Лев</t>
  </si>
  <si>
    <t xml:space="preserve">Иванова </t>
  </si>
  <si>
    <t>Буйлов</t>
  </si>
  <si>
    <t xml:space="preserve">Владислав </t>
  </si>
  <si>
    <t xml:space="preserve">Васильевых </t>
  </si>
  <si>
    <t>Донец</t>
  </si>
  <si>
    <t>Инозенцев</t>
  </si>
  <si>
    <t xml:space="preserve">Лидер </t>
  </si>
  <si>
    <t xml:space="preserve">Лихачев </t>
  </si>
  <si>
    <t>Журабаева</t>
  </si>
  <si>
    <t xml:space="preserve">Куликова </t>
  </si>
  <si>
    <t>Алексеева</t>
  </si>
  <si>
    <t>Павловна</t>
  </si>
  <si>
    <t>Гнучева</t>
  </si>
  <si>
    <t>Марьяна</t>
  </si>
  <si>
    <t xml:space="preserve">Ярцева </t>
  </si>
  <si>
    <t>Артемовна</t>
  </si>
  <si>
    <t>мария</t>
  </si>
  <si>
    <t>Фогель</t>
  </si>
  <si>
    <t>Махмедова</t>
  </si>
  <si>
    <t>карина</t>
  </si>
  <si>
    <t>Ничипоренко</t>
  </si>
  <si>
    <t>Ноколаевна</t>
  </si>
  <si>
    <t>Герасимова</t>
  </si>
  <si>
    <t>Ярослава</t>
  </si>
  <si>
    <t>романович</t>
  </si>
  <si>
    <t>Горбачев</t>
  </si>
  <si>
    <t>Рунов</t>
  </si>
  <si>
    <t>анастасия</t>
  </si>
  <si>
    <t>Гамира</t>
  </si>
  <si>
    <t>Елизовета</t>
  </si>
  <si>
    <t>Мафтунахон</t>
  </si>
  <si>
    <t>Евгеньевнич</t>
  </si>
  <si>
    <t>Печенцева</t>
  </si>
  <si>
    <t>Таноян</t>
  </si>
  <si>
    <t>Константинов</t>
  </si>
  <si>
    <t>Валрьевич</t>
  </si>
  <si>
    <t>Данча</t>
  </si>
  <si>
    <t>Васильевна</t>
  </si>
  <si>
    <t xml:space="preserve">Новицкая </t>
  </si>
  <si>
    <t>Карноухова</t>
  </si>
  <si>
    <t>Подгайный</t>
  </si>
  <si>
    <t>Десяьтинникова</t>
  </si>
  <si>
    <t xml:space="preserve">Иван </t>
  </si>
  <si>
    <t xml:space="preserve">Воробьева </t>
  </si>
  <si>
    <t xml:space="preserve">Сысолина </t>
  </si>
  <si>
    <t>Митрохина</t>
  </si>
  <si>
    <t>Не имеются</t>
  </si>
  <si>
    <t>Кадиров</t>
  </si>
  <si>
    <t>Мерзлякова</t>
  </si>
  <si>
    <t>Варвара</t>
  </si>
  <si>
    <t>Клюсова</t>
  </si>
  <si>
    <t>Федоровна</t>
  </si>
  <si>
    <t>Борзихина</t>
  </si>
  <si>
    <t>Злобина</t>
  </si>
  <si>
    <t>Анна</t>
  </si>
  <si>
    <t>Пяткина</t>
  </si>
  <si>
    <t>Кузминкин</t>
  </si>
  <si>
    <t>Арсений</t>
  </si>
  <si>
    <t>Артемович</t>
  </si>
  <si>
    <t>Шарапова</t>
  </si>
  <si>
    <t>Акбердина</t>
  </si>
  <si>
    <t>Томара</t>
  </si>
  <si>
    <t>Рустамовна</t>
  </si>
  <si>
    <t>Мартынов</t>
  </si>
  <si>
    <t>Иванович</t>
  </si>
  <si>
    <t>Пушкарев</t>
  </si>
  <si>
    <t>Виталий</t>
  </si>
  <si>
    <t>Берсенев</t>
  </si>
  <si>
    <t>Устенко</t>
  </si>
  <si>
    <t>Мосина</t>
  </si>
  <si>
    <t>Подковырова</t>
  </si>
  <si>
    <t>Яна</t>
  </si>
  <si>
    <t>Коробова</t>
  </si>
  <si>
    <t>Амира</t>
  </si>
  <si>
    <t>Маратовна</t>
  </si>
  <si>
    <t>Суздальцев</t>
  </si>
  <si>
    <t>Савицкая</t>
  </si>
  <si>
    <t>Дондерфер</t>
  </si>
  <si>
    <t>Лысенко</t>
  </si>
  <si>
    <t>Гончаров</t>
  </si>
  <si>
    <t>Исмаилова</t>
  </si>
  <si>
    <t>Бибинур</t>
  </si>
  <si>
    <t>Сереев</t>
  </si>
  <si>
    <t>Давлятов</t>
  </si>
  <si>
    <t>Билолиддин</t>
  </si>
  <si>
    <t>Хукмидинович</t>
  </si>
  <si>
    <t>Шадрина</t>
  </si>
  <si>
    <t>Горн</t>
  </si>
  <si>
    <t>Болтикова</t>
  </si>
  <si>
    <t>Косулин</t>
  </si>
  <si>
    <t>Барсук</t>
  </si>
  <si>
    <t>Александрована</t>
  </si>
  <si>
    <t xml:space="preserve">Бемолян </t>
  </si>
  <si>
    <t>Ахмедова</t>
  </si>
  <si>
    <t>Зарина</t>
  </si>
  <si>
    <t>Зайдуловна</t>
  </si>
  <si>
    <t>Шамсидинова</t>
  </si>
  <si>
    <t>Шахобудиновна</t>
  </si>
  <si>
    <t>Ролаидовна</t>
  </si>
  <si>
    <t>Воробьёва</t>
  </si>
  <si>
    <t>Лавриноич</t>
  </si>
  <si>
    <t>Магарита</t>
  </si>
  <si>
    <t>Морозоа</t>
  </si>
  <si>
    <t>Ильич</t>
  </si>
  <si>
    <t>Николай</t>
  </si>
  <si>
    <t>Нагорный</t>
  </si>
  <si>
    <t>Титаренко</t>
  </si>
  <si>
    <t>Машина</t>
  </si>
  <si>
    <t>Ермолаев</t>
  </si>
  <si>
    <t>Виктор</t>
  </si>
  <si>
    <t>Кофанов</t>
  </si>
  <si>
    <t>Хатунцева</t>
  </si>
  <si>
    <t>Антон</t>
  </si>
  <si>
    <t>Ткаченко</t>
  </si>
  <si>
    <t>Трунов</t>
  </si>
  <si>
    <t xml:space="preserve">Новикова </t>
  </si>
  <si>
    <t xml:space="preserve">Хомутова </t>
  </si>
  <si>
    <t xml:space="preserve">Сенин </t>
  </si>
  <si>
    <t>Констанин</t>
  </si>
  <si>
    <t xml:space="preserve">Литвинов </t>
  </si>
  <si>
    <t>Мауэр</t>
  </si>
  <si>
    <t>Мелехина</t>
  </si>
  <si>
    <t>Анатольевна</t>
  </si>
  <si>
    <t>Ходус</t>
  </si>
  <si>
    <t>Георгиевич</t>
  </si>
  <si>
    <t>Петунин</t>
  </si>
  <si>
    <t>Магомед Расулович</t>
  </si>
  <si>
    <t>Мехти</t>
  </si>
  <si>
    <t>Керимов</t>
  </si>
  <si>
    <t xml:space="preserve">Захар </t>
  </si>
  <si>
    <t xml:space="preserve">Максим </t>
  </si>
  <si>
    <t>Иноземцев</t>
  </si>
  <si>
    <t>Боровских</t>
  </si>
  <si>
    <t xml:space="preserve">Сергеев </t>
  </si>
  <si>
    <t>Кениг</t>
  </si>
  <si>
    <t>Борис</t>
  </si>
  <si>
    <t>Шаева</t>
  </si>
  <si>
    <t>Баженова</t>
  </si>
  <si>
    <t>Дорофеев</t>
  </si>
  <si>
    <t>Тюпина</t>
  </si>
  <si>
    <t>Касатов</t>
  </si>
  <si>
    <t>Кочнева</t>
  </si>
  <si>
    <t>Михайловеа</t>
  </si>
  <si>
    <t xml:space="preserve">Илья </t>
  </si>
  <si>
    <t>Довлятов</t>
  </si>
  <si>
    <t>Хукмиддинович</t>
  </si>
  <si>
    <t>Макбековна</t>
  </si>
  <si>
    <t>Вячеславовович</t>
  </si>
  <si>
    <t>Ержуманова</t>
  </si>
  <si>
    <t>Шевцов</t>
  </si>
  <si>
    <t>Костка</t>
  </si>
  <si>
    <t>Печенцоа</t>
  </si>
  <si>
    <t xml:space="preserve">Махмадова </t>
  </si>
  <si>
    <t>Розовенко</t>
  </si>
  <si>
    <t>Абрамова</t>
  </si>
  <si>
    <t>МБОУ СОШ№ 153</t>
  </si>
  <si>
    <t>Соловьева Н.В.</t>
  </si>
  <si>
    <t>Самоордов</t>
  </si>
  <si>
    <t>Геогрий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</si>
</sst>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1" applyNumberFormat="0" applyAlignment="0" applyProtection="0"/>
    <xf numFmtId="0" fontId="9" fillId="18" borderId="2" applyNumberFormat="0" applyAlignment="0" applyProtection="0"/>
    <xf numFmtId="0" fontId="10" fillId="18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9" borderId="7" applyNumberFormat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37" fillId="0" borderId="0"/>
    <xf numFmtId="0" fontId="38" fillId="0" borderId="0"/>
    <xf numFmtId="0" fontId="2" fillId="0" borderId="0"/>
    <xf numFmtId="0" fontId="37" fillId="0" borderId="0"/>
    <xf numFmtId="0" fontId="2" fillId="0" borderId="0"/>
    <xf numFmtId="0" fontId="39" fillId="0" borderId="0"/>
    <xf numFmtId="0" fontId="38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1" borderId="8" applyNumberFormat="0" applyFont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2">
    <xf numFmtId="0" fontId="0" fillId="0" borderId="0" xfId="0"/>
    <xf numFmtId="1" fontId="23" fillId="22" borderId="0" xfId="0" applyNumberFormat="1" applyFont="1" applyFill="1" applyBorder="1" applyProtection="1">
      <protection locked="0"/>
    </xf>
    <xf numFmtId="0" fontId="23" fillId="22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protection locked="0"/>
    </xf>
    <xf numFmtId="10" fontId="28" fillId="0" borderId="10" xfId="0" applyNumberFormat="1" applyFont="1" applyBorder="1" applyAlignment="1" applyProtection="1">
      <protection locked="0"/>
    </xf>
    <xf numFmtId="164" fontId="28" fillId="0" borderId="10" xfId="0" applyNumberFormat="1" applyFont="1" applyBorder="1" applyAlignment="1" applyProtection="1">
      <protection locked="0"/>
    </xf>
    <xf numFmtId="0" fontId="28" fillId="0" borderId="10" xfId="0" applyFont="1" applyFill="1" applyBorder="1" applyAlignment="1" applyProtection="1">
      <protection locked="0"/>
    </xf>
    <xf numFmtId="0" fontId="27" fillId="0" borderId="10" xfId="0" applyFont="1" applyBorder="1" applyProtection="1">
      <protection hidden="1"/>
    </xf>
    <xf numFmtId="0" fontId="23" fillId="0" borderId="10" xfId="0" applyFont="1" applyBorder="1" applyProtection="1">
      <protection hidden="1"/>
    </xf>
    <xf numFmtId="0" fontId="27" fillId="0" borderId="1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28" fillId="0" borderId="10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protection locked="0"/>
    </xf>
    <xf numFmtId="164" fontId="28" fillId="0" borderId="10" xfId="0" applyNumberFormat="1" applyFont="1" applyFill="1" applyBorder="1" applyAlignment="1" applyProtection="1">
      <protection locked="0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8" fillId="0" borderId="10" xfId="0" applyFont="1" applyBorder="1" applyAlignment="1" applyProtection="1">
      <alignment vertical="justify" wrapText="1"/>
      <protection locked="0"/>
    </xf>
    <xf numFmtId="0" fontId="28" fillId="0" borderId="10" xfId="0" applyFont="1" applyBorder="1" applyProtection="1">
      <protection locked="0"/>
    </xf>
    <xf numFmtId="0" fontId="28" fillId="0" borderId="10" xfId="0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NumberFormat="1" applyFont="1" applyProtection="1">
      <protection locked="0"/>
    </xf>
    <xf numFmtId="0" fontId="28" fillId="0" borderId="0" xfId="0" applyFont="1" applyBorder="1" applyProtection="1">
      <protection locked="0"/>
    </xf>
    <xf numFmtId="0" fontId="23" fillId="22" borderId="0" xfId="0" applyFont="1" applyFill="1" applyProtection="1">
      <protection locked="0"/>
    </xf>
    <xf numFmtId="0" fontId="24" fillId="22" borderId="0" xfId="0" applyFont="1" applyFill="1" applyAlignment="1" applyProtection="1">
      <alignment horizontal="center"/>
      <protection locked="0"/>
    </xf>
    <xf numFmtId="0" fontId="25" fillId="22" borderId="0" xfId="0" applyFont="1" applyFill="1" applyAlignment="1" applyProtection="1">
      <alignment horizontal="center"/>
      <protection locked="0"/>
    </xf>
    <xf numFmtId="0" fontId="23" fillId="22" borderId="0" xfId="0" applyFont="1" applyFill="1" applyAlignment="1" applyProtection="1">
      <protection locked="0"/>
    </xf>
    <xf numFmtId="0" fontId="27" fillId="22" borderId="10" xfId="0" applyFont="1" applyFill="1" applyBorder="1" applyAlignment="1" applyProtection="1">
      <alignment horizontal="center"/>
      <protection locked="0"/>
    </xf>
    <xf numFmtId="0" fontId="23" fillId="22" borderId="10" xfId="0" applyFont="1" applyFill="1" applyBorder="1" applyAlignment="1" applyProtection="1">
      <alignment vertical="center" wrapText="1"/>
      <protection locked="0"/>
    </xf>
    <xf numFmtId="0" fontId="23" fillId="22" borderId="10" xfId="0" applyFont="1" applyFill="1" applyBorder="1" applyProtection="1">
      <protection locked="0"/>
    </xf>
    <xf numFmtId="0" fontId="23" fillId="22" borderId="10" xfId="0" applyFont="1" applyFill="1" applyBorder="1" applyAlignment="1" applyProtection="1">
      <alignment horizontal="center" vertical="center"/>
      <protection locked="0"/>
    </xf>
    <xf numFmtId="0" fontId="23" fillId="22" borderId="0" xfId="0" applyFont="1" applyFill="1" applyBorder="1" applyAlignment="1" applyProtection="1">
      <alignment horizontal="center" vertical="center"/>
      <protection locked="0"/>
    </xf>
    <xf numFmtId="0" fontId="23" fillId="22" borderId="0" xfId="0" applyFont="1" applyFill="1" applyBorder="1" applyProtection="1"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protection locked="0"/>
    </xf>
    <xf numFmtId="0" fontId="28" fillId="0" borderId="13" xfId="0" applyNumberFormat="1" applyFont="1" applyBorder="1" applyProtection="1"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10" fontId="28" fillId="0" borderId="10" xfId="0" applyNumberFormat="1" applyFont="1" applyBorder="1" applyAlignment="1" applyProtection="1">
      <alignment horizontal="left" vertical="center"/>
      <protection locked="0"/>
    </xf>
    <xf numFmtId="164" fontId="28" fillId="0" borderId="10" xfId="0" applyNumberFormat="1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Protection="1">
      <protection locked="0"/>
    </xf>
    <xf numFmtId="0" fontId="28" fillId="0" borderId="29" xfId="0" applyFont="1" applyBorder="1" applyProtection="1">
      <protection locked="0"/>
    </xf>
    <xf numFmtId="164" fontId="28" fillId="0" borderId="13" xfId="0" applyNumberFormat="1" applyFont="1" applyBorder="1" applyAlignment="1" applyProtection="1">
      <protection locked="0"/>
    </xf>
    <xf numFmtId="0" fontId="28" fillId="0" borderId="13" xfId="0" applyFont="1" applyFill="1" applyBorder="1" applyAlignment="1" applyProtection="1"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protection locked="0"/>
    </xf>
    <xf numFmtId="0" fontId="28" fillId="0" borderId="11" xfId="0" applyFont="1" applyFill="1" applyBorder="1" applyAlignment="1" applyProtection="1">
      <protection locked="0"/>
    </xf>
    <xf numFmtId="164" fontId="28" fillId="0" borderId="0" xfId="0" applyNumberFormat="1" applyFont="1" applyBorder="1" applyAlignment="1" applyProtection="1">
      <protection locked="0"/>
    </xf>
    <xf numFmtId="0" fontId="28" fillId="0" borderId="0" xfId="0" applyFont="1" applyBorder="1" applyAlignment="1" applyProtection="1">
      <alignment horizontal="right"/>
      <protection locked="0"/>
    </xf>
    <xf numFmtId="10" fontId="28" fillId="0" borderId="10" xfId="0" applyNumberFormat="1" applyFont="1" applyFill="1" applyBorder="1" applyAlignment="1" applyProtection="1">
      <protection locked="0"/>
    </xf>
    <xf numFmtId="9" fontId="28" fillId="0" borderId="10" xfId="50" applyFont="1" applyBorder="1" applyAlignment="1" applyProtection="1">
      <alignment horizontal="right"/>
      <protection locked="0"/>
    </xf>
    <xf numFmtId="0" fontId="28" fillId="0" borderId="10" xfId="0" applyFont="1" applyBorder="1" applyAlignment="1" applyProtection="1">
      <alignment horizontal="right" vertical="center"/>
      <protection locked="0"/>
    </xf>
    <xf numFmtId="164" fontId="28" fillId="0" borderId="1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12" xfId="0" applyFont="1" applyBorder="1" applyAlignment="1" applyProtection="1">
      <alignment horizontal="right" vertical="center" wrapText="1"/>
      <protection locked="0"/>
    </xf>
    <xf numFmtId="10" fontId="28" fillId="0" borderId="10" xfId="0" applyNumberFormat="1" applyFont="1" applyBorder="1" applyAlignment="1" applyProtection="1">
      <alignment horizontal="right"/>
      <protection locked="0"/>
    </xf>
    <xf numFmtId="164" fontId="28" fillId="0" borderId="10" xfId="0" applyNumberFormat="1" applyFont="1" applyBorder="1" applyAlignment="1" applyProtection="1">
      <alignment horizontal="right" vertical="center"/>
      <protection locked="0"/>
    </xf>
    <xf numFmtId="10" fontId="28" fillId="0" borderId="10" xfId="0" applyNumberFormat="1" applyFont="1" applyBorder="1" applyAlignment="1" applyProtection="1">
      <alignment horizontal="right" vertical="center"/>
      <protection locked="0"/>
    </xf>
    <xf numFmtId="0" fontId="40" fillId="26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Border="1"/>
    <xf numFmtId="0" fontId="40" fillId="26" borderId="16" xfId="0" applyFont="1" applyFill="1" applyBorder="1" applyAlignment="1">
      <alignment horizontal="center" vertical="center"/>
    </xf>
    <xf numFmtId="0" fontId="0" fillId="0" borderId="0" xfId="0" applyBorder="1"/>
    <xf numFmtId="0" fontId="32" fillId="0" borderId="10" xfId="0" applyFont="1" applyBorder="1"/>
    <xf numFmtId="0" fontId="41" fillId="26" borderId="10" xfId="0" applyFont="1" applyFill="1" applyBorder="1" applyAlignment="1">
      <alignment horizontal="center" vertical="center"/>
    </xf>
    <xf numFmtId="10" fontId="41" fillId="26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vertical="center"/>
      <protection locked="0"/>
    </xf>
    <xf numFmtId="10" fontId="28" fillId="0" borderId="0" xfId="0" applyNumberFormat="1" applyFont="1" applyBorder="1" applyAlignment="1" applyProtection="1">
      <protection locked="0"/>
    </xf>
    <xf numFmtId="0" fontId="28" fillId="0" borderId="0" xfId="0" applyNumberFormat="1" applyFont="1" applyBorder="1" applyProtection="1"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Border="1" applyAlignment="1" applyProtection="1">
      <alignment horizontal="left"/>
      <protection locked="0"/>
    </xf>
    <xf numFmtId="164" fontId="28" fillId="0" borderId="0" xfId="0" applyNumberFormat="1" applyFont="1" applyBorder="1" applyAlignment="1" applyProtection="1">
      <alignment horizontal="right"/>
      <protection locked="0"/>
    </xf>
    <xf numFmtId="10" fontId="28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protection locked="0"/>
    </xf>
    <xf numFmtId="164" fontId="28" fillId="0" borderId="0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protection locked="0"/>
    </xf>
    <xf numFmtId="10" fontId="28" fillId="0" borderId="0" xfId="0" applyNumberFormat="1" applyFont="1" applyFill="1" applyBorder="1" applyAlignment="1" applyProtection="1">
      <protection locked="0"/>
    </xf>
    <xf numFmtId="0" fontId="41" fillId="26" borderId="12" xfId="0" applyFont="1" applyFill="1" applyBorder="1" applyAlignment="1" applyProtection="1">
      <alignment horizontal="center" vertical="center"/>
      <protection hidden="1"/>
    </xf>
    <xf numFmtId="0" fontId="40" fillId="26" borderId="12" xfId="0" applyFont="1" applyFill="1" applyBorder="1" applyAlignment="1" applyProtection="1">
      <alignment horizontal="center" vertical="center"/>
      <protection hidden="1"/>
    </xf>
    <xf numFmtId="10" fontId="40" fillId="26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Protection="1">
      <protection locked="0"/>
    </xf>
    <xf numFmtId="0" fontId="42" fillId="26" borderId="13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0" fillId="26" borderId="15" xfId="0" applyFont="1" applyFill="1" applyBorder="1" applyAlignment="1">
      <alignment horizontal="center" wrapText="1"/>
    </xf>
    <xf numFmtId="0" fontId="26" fillId="22" borderId="0" xfId="0" applyFont="1" applyFill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4" fontId="28" fillId="0" borderId="19" xfId="0" applyNumberFormat="1" applyFont="1" applyBorder="1" applyAlignment="1" applyProtection="1">
      <protection locked="0"/>
    </xf>
    <xf numFmtId="10" fontId="28" fillId="0" borderId="11" xfId="0" applyNumberFormat="1" applyFont="1" applyBorder="1" applyAlignment="1" applyProtection="1">
      <protection locked="0"/>
    </xf>
    <xf numFmtId="10" fontId="23" fillId="22" borderId="10" xfId="0" applyNumberFormat="1" applyFont="1" applyFill="1" applyBorder="1" applyProtection="1"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0" fontId="26" fillId="22" borderId="0" xfId="0" applyFont="1" applyFill="1" applyAlignment="1" applyProtection="1">
      <alignment horizontal="left" vertical="top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164" fontId="28" fillId="0" borderId="17" xfId="0" applyNumberFormat="1" applyFont="1" applyBorder="1" applyAlignment="1" applyProtection="1">
      <alignment horizontal="left" vertical="center"/>
      <protection locked="0"/>
    </xf>
    <xf numFmtId="164" fontId="28" fillId="0" borderId="17" xfId="0" applyNumberFormat="1" applyFont="1" applyBorder="1" applyAlignment="1" applyProtection="1">
      <alignment horizontal="right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28" fillId="0" borderId="17" xfId="0" applyFont="1" applyBorder="1" applyProtection="1">
      <protection locked="0"/>
    </xf>
    <xf numFmtId="0" fontId="28" fillId="0" borderId="17" xfId="0" applyFont="1" applyBorder="1" applyAlignment="1" applyProtection="1">
      <protection locked="0"/>
    </xf>
    <xf numFmtId="0" fontId="28" fillId="0" borderId="17" xfId="0" applyFont="1" applyBorder="1" applyAlignment="1" applyProtection="1">
      <alignment horizontal="right"/>
      <protection locked="0"/>
    </xf>
    <xf numFmtId="164" fontId="28" fillId="0" borderId="17" xfId="0" applyNumberFormat="1" applyFont="1" applyBorder="1" applyAlignment="1" applyProtection="1">
      <protection locked="0"/>
    </xf>
    <xf numFmtId="164" fontId="28" fillId="0" borderId="17" xfId="0" applyNumberFormat="1" applyFont="1" applyBorder="1" applyAlignment="1" applyProtection="1">
      <alignment horizontal="right"/>
      <protection locked="0"/>
    </xf>
    <xf numFmtId="0" fontId="28" fillId="0" borderId="20" xfId="0" applyFont="1" applyBorder="1" applyAlignment="1" applyProtection="1">
      <protection locked="0"/>
    </xf>
    <xf numFmtId="0" fontId="28" fillId="0" borderId="20" xfId="0" applyNumberFormat="1" applyFont="1" applyBorder="1" applyProtection="1">
      <protection locked="0"/>
    </xf>
    <xf numFmtId="164" fontId="28" fillId="0" borderId="21" xfId="0" applyNumberFormat="1" applyFont="1" applyBorder="1" applyAlignment="1" applyProtection="1">
      <protection locked="0"/>
    </xf>
    <xf numFmtId="0" fontId="28" fillId="0" borderId="30" xfId="0" applyFont="1" applyBorder="1" applyProtection="1">
      <protection locked="0"/>
    </xf>
    <xf numFmtId="0" fontId="29" fillId="0" borderId="17" xfId="0" applyFont="1" applyBorder="1" applyAlignment="1" applyProtection="1">
      <protection locked="0"/>
    </xf>
    <xf numFmtId="0" fontId="29" fillId="0" borderId="17" xfId="0" applyFont="1" applyBorder="1" applyAlignment="1" applyProtection="1">
      <alignment vertical="center" wrapText="1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28" fillId="0" borderId="17" xfId="0" applyFont="1" applyBorder="1" applyAlignment="1" applyProtection="1">
      <alignment vertical="justify" wrapText="1"/>
      <protection locked="0"/>
    </xf>
    <xf numFmtId="0" fontId="28" fillId="0" borderId="17" xfId="0" applyFont="1" applyFill="1" applyBorder="1" applyAlignment="1" applyProtection="1">
      <protection locked="0"/>
    </xf>
    <xf numFmtId="164" fontId="28" fillId="0" borderId="20" xfId="0" applyNumberFormat="1" applyFont="1" applyBorder="1" applyAlignment="1" applyProtection="1">
      <protection locked="0"/>
    </xf>
    <xf numFmtId="0" fontId="28" fillId="0" borderId="22" xfId="0" applyFont="1" applyFill="1" applyBorder="1" applyAlignment="1" applyProtection="1">
      <protection locked="0"/>
    </xf>
    <xf numFmtId="164" fontId="28" fillId="0" borderId="17" xfId="0" applyNumberFormat="1" applyFont="1" applyFill="1" applyBorder="1" applyAlignment="1" applyProtection="1">
      <protection locked="0"/>
    </xf>
    <xf numFmtId="0" fontId="28" fillId="0" borderId="20" xfId="0" applyFont="1" applyFill="1" applyBorder="1" applyAlignment="1" applyProtection="1"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64" fontId="28" fillId="0" borderId="0" xfId="0" applyNumberFormat="1" applyFont="1" applyBorder="1" applyAlignment="1" applyProtection="1">
      <alignment horizontal="right" vertical="center"/>
      <protection locked="0"/>
    </xf>
    <xf numFmtId="10" fontId="28" fillId="0" borderId="0" xfId="0" applyNumberFormat="1" applyFont="1" applyBorder="1" applyAlignment="1" applyProtection="1">
      <alignment horizontal="right" vertical="center"/>
      <protection locked="0"/>
    </xf>
    <xf numFmtId="9" fontId="28" fillId="0" borderId="0" xfId="50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vertical="justify" wrapText="1"/>
      <protection locked="0"/>
    </xf>
    <xf numFmtId="0" fontId="28" fillId="0" borderId="31" xfId="0" applyFont="1" applyBorder="1" applyProtection="1">
      <protection locked="0"/>
    </xf>
    <xf numFmtId="0" fontId="28" fillId="0" borderId="10" xfId="0" applyNumberFormat="1" applyFont="1" applyBorder="1" applyProtection="1"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3" fillId="25" borderId="10" xfId="0" applyFont="1" applyFill="1" applyBorder="1" applyAlignment="1" applyProtection="1">
      <alignment vertical="center" wrapText="1"/>
      <protection locked="0"/>
    </xf>
    <xf numFmtId="0" fontId="23" fillId="25" borderId="0" xfId="0" applyFont="1" applyFill="1" applyBorder="1" applyAlignment="1" applyProtection="1">
      <protection locked="0"/>
    </xf>
    <xf numFmtId="0" fontId="23" fillId="22" borderId="0" xfId="0" applyFont="1" applyFill="1" applyBorder="1" applyAlignment="1" applyProtection="1">
      <alignment horizontal="center"/>
      <protection locked="0"/>
    </xf>
    <xf numFmtId="0" fontId="26" fillId="22" borderId="0" xfId="0" applyFont="1" applyFill="1" applyAlignment="1" applyProtection="1">
      <alignment wrapText="1"/>
      <protection locked="0"/>
    </xf>
    <xf numFmtId="0" fontId="43" fillId="22" borderId="0" xfId="0" applyFont="1" applyFill="1" applyProtection="1">
      <protection locked="0"/>
    </xf>
    <xf numFmtId="0" fontId="28" fillId="0" borderId="32" xfId="0" applyFont="1" applyBorder="1" applyProtection="1">
      <protection locked="0"/>
    </xf>
    <xf numFmtId="0" fontId="28" fillId="0" borderId="33" xfId="0" applyFont="1" applyBorder="1" applyProtection="1">
      <protection locked="0"/>
    </xf>
    <xf numFmtId="14" fontId="28" fillId="0" borderId="10" xfId="0" applyNumberFormat="1" applyFont="1" applyBorder="1" applyProtection="1">
      <protection locked="0"/>
    </xf>
    <xf numFmtId="0" fontId="14" fillId="0" borderId="0" xfId="0" applyFont="1" applyFill="1" applyBorder="1" applyAlignment="1" applyProtection="1">
      <protection hidden="1"/>
    </xf>
    <xf numFmtId="10" fontId="14" fillId="0" borderId="0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protection hidden="1"/>
    </xf>
    <xf numFmtId="10" fontId="0" fillId="0" borderId="0" xfId="0" applyNumberForma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protection hidden="1"/>
    </xf>
    <xf numFmtId="0" fontId="0" fillId="0" borderId="10" xfId="0" applyFont="1" applyFill="1" applyBorder="1" applyAlignment="1" applyProtection="1">
      <protection hidden="1"/>
    </xf>
    <xf numFmtId="10" fontId="0" fillId="0" borderId="10" xfId="0" applyNumberFormat="1" applyFont="1" applyFill="1" applyBorder="1" applyAlignment="1" applyProtection="1"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4" fillId="22" borderId="0" xfId="0" applyFont="1" applyFill="1" applyAlignment="1" applyProtection="1">
      <alignment horizontal="center" wrapText="1"/>
      <protection locked="0"/>
    </xf>
    <xf numFmtId="0" fontId="23" fillId="22" borderId="0" xfId="0" applyFont="1" applyFill="1" applyAlignment="1" applyProtection="1">
      <alignment horizontal="center"/>
      <protection locked="0"/>
    </xf>
    <xf numFmtId="14" fontId="23" fillId="23" borderId="0" xfId="0" applyNumberFormat="1" applyFont="1" applyFill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7" fillId="23" borderId="13" xfId="0" applyFont="1" applyFill="1" applyBorder="1" applyAlignment="1" applyProtection="1">
      <alignment horizontal="center" vertical="center"/>
      <protection locked="0"/>
    </xf>
    <xf numFmtId="0" fontId="27" fillId="23" borderId="10" xfId="0" applyFont="1" applyFill="1" applyBorder="1" applyAlignment="1" applyProtection="1">
      <alignment horizontal="center" vertical="center"/>
      <protection locked="0"/>
    </xf>
    <xf numFmtId="0" fontId="23" fillId="22" borderId="0" xfId="0" applyFont="1" applyFill="1" applyAlignment="1" applyProtection="1">
      <alignment horizontal="center" vertical="center"/>
      <protection locked="0"/>
    </xf>
    <xf numFmtId="0" fontId="23" fillId="22" borderId="0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wrapText="1"/>
      <protection locked="0"/>
    </xf>
    <xf numFmtId="0" fontId="23" fillId="25" borderId="0" xfId="0" applyFont="1" applyFill="1" applyProtection="1">
      <protection locked="0"/>
    </xf>
    <xf numFmtId="0" fontId="23" fillId="25" borderId="0" xfId="0" applyFont="1" applyFill="1" applyBorder="1" applyAlignment="1" applyProtection="1">
      <alignment vertical="center" wrapText="1"/>
      <protection locked="0"/>
    </xf>
    <xf numFmtId="0" fontId="23" fillId="25" borderId="0" xfId="0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wrapText="1"/>
      <protection locked="0"/>
    </xf>
    <xf numFmtId="0" fontId="23" fillId="25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hidden="1"/>
    </xf>
    <xf numFmtId="0" fontId="0" fillId="22" borderId="10" xfId="0" applyFont="1" applyFill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4" fontId="28" fillId="0" borderId="11" xfId="0" applyNumberFormat="1" applyFont="1" applyBorder="1" applyAlignment="1" applyProtection="1">
      <protection locked="0"/>
    </xf>
    <xf numFmtId="14" fontId="28" fillId="0" borderId="0" xfId="0" applyNumberFormat="1" applyFont="1" applyBorder="1" applyProtection="1">
      <protection locked="0"/>
    </xf>
    <xf numFmtId="0" fontId="28" fillId="0" borderId="10" xfId="0" applyNumberFormat="1" applyFont="1" applyBorder="1" applyAlignment="1" applyProtection="1">
      <alignment horizontal="left" vertical="center"/>
      <protection locked="0"/>
    </xf>
    <xf numFmtId="0" fontId="28" fillId="0" borderId="13" xfId="0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40" fillId="26" borderId="10" xfId="0" applyFont="1" applyFill="1" applyBorder="1" applyAlignment="1">
      <alignment horizontal="center" vertical="center" wrapText="1"/>
    </xf>
    <xf numFmtId="0" fontId="44" fillId="0" borderId="0" xfId="0" applyFont="1"/>
    <xf numFmtId="0" fontId="28" fillId="0" borderId="13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9" xfId="0" applyFont="1" applyBorder="1" applyAlignment="1" applyProtection="1">
      <alignment vertical="center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0" fontId="28" fillId="0" borderId="22" xfId="0" applyFont="1" applyBorder="1" applyAlignment="1" applyProtection="1">
      <alignment horizontal="right" vertical="center"/>
      <protection locked="0"/>
    </xf>
    <xf numFmtId="0" fontId="28" fillId="0" borderId="11" xfId="0" applyFont="1" applyBorder="1" applyAlignment="1" applyProtection="1">
      <alignment horizontal="right"/>
      <protection locked="0"/>
    </xf>
    <xf numFmtId="0" fontId="28" fillId="0" borderId="22" xfId="0" applyFont="1" applyBorder="1" applyAlignment="1" applyProtection="1">
      <alignment horizontal="right"/>
      <protection locked="0"/>
    </xf>
    <xf numFmtId="0" fontId="28" fillId="0" borderId="22" xfId="0" applyFont="1" applyBorder="1" applyAlignment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vertical="justify" wrapText="1"/>
      <protection locked="0"/>
    </xf>
    <xf numFmtId="0" fontId="28" fillId="0" borderId="22" xfId="0" applyFont="1" applyBorder="1" applyAlignment="1" applyProtection="1">
      <alignment vertical="justify" wrapText="1"/>
      <protection locked="0"/>
    </xf>
    <xf numFmtId="0" fontId="28" fillId="0" borderId="22" xfId="0" applyFont="1" applyBorder="1" applyProtection="1">
      <protection locked="0"/>
    </xf>
    <xf numFmtId="0" fontId="27" fillId="22" borderId="19" xfId="0" applyFont="1" applyFill="1" applyBorder="1" applyAlignment="1" applyProtection="1">
      <alignment horizontal="center" vertical="center"/>
      <protection locked="0"/>
    </xf>
    <xf numFmtId="0" fontId="28" fillId="22" borderId="10" xfId="0" applyFont="1" applyFill="1" applyBorder="1" applyAlignment="1" applyProtection="1">
      <alignment vertical="center" wrapText="1"/>
      <protection locked="0"/>
    </xf>
    <xf numFmtId="0" fontId="28" fillId="22" borderId="17" xfId="0" applyFont="1" applyFill="1" applyBorder="1" applyAlignment="1" applyProtection="1">
      <alignment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hidden="1"/>
    </xf>
    <xf numFmtId="0" fontId="28" fillId="22" borderId="0" xfId="0" applyFont="1" applyFill="1" applyProtection="1">
      <protection locked="0"/>
    </xf>
    <xf numFmtId="0" fontId="36" fillId="22" borderId="10" xfId="0" applyFont="1" applyFill="1" applyBorder="1" applyAlignment="1" applyProtection="1">
      <alignment vertical="center" wrapText="1"/>
      <protection locked="0"/>
    </xf>
    <xf numFmtId="0" fontId="36" fillId="22" borderId="17" xfId="0" applyFont="1" applyFill="1" applyBorder="1" applyAlignment="1" applyProtection="1">
      <alignment vertical="center" wrapText="1"/>
      <protection locked="0"/>
    </xf>
    <xf numFmtId="0" fontId="35" fillId="24" borderId="12" xfId="0" applyFont="1" applyFill="1" applyBorder="1" applyAlignment="1" applyProtection="1">
      <alignment horizontal="center" vertical="center" wrapText="1"/>
      <protection hidden="1"/>
    </xf>
    <xf numFmtId="0" fontId="27" fillId="22" borderId="0" xfId="0" applyFont="1" applyFill="1" applyBorder="1" applyAlignment="1" applyProtection="1">
      <alignment horizontal="center" vertical="center"/>
      <protection locked="0"/>
    </xf>
    <xf numFmtId="0" fontId="27" fillId="22" borderId="21" xfId="0" applyFont="1" applyFill="1" applyBorder="1" applyAlignment="1" applyProtection="1">
      <alignment horizontal="center" vertical="center"/>
      <protection locked="0"/>
    </xf>
    <xf numFmtId="0" fontId="27" fillId="22" borderId="23" xfId="0" applyFont="1" applyFill="1" applyBorder="1" applyAlignment="1" applyProtection="1">
      <alignment horizontal="center"/>
      <protection locked="0"/>
    </xf>
    <xf numFmtId="0" fontId="27" fillId="22" borderId="24" xfId="0" applyFont="1" applyFill="1" applyBorder="1" applyAlignment="1" applyProtection="1">
      <alignment horizontal="center"/>
      <protection locked="0"/>
    </xf>
    <xf numFmtId="0" fontId="36" fillId="22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/>
    <xf numFmtId="14" fontId="23" fillId="25" borderId="0" xfId="0" applyNumberFormat="1" applyFont="1" applyFill="1" applyAlignment="1" applyProtection="1">
      <alignment horizontal="center"/>
      <protection locked="0"/>
    </xf>
    <xf numFmtId="0" fontId="23" fillId="25" borderId="0" xfId="0" applyFont="1" applyFill="1" applyAlignment="1" applyProtection="1">
      <alignment horizontal="center" wrapText="1"/>
      <protection locked="0"/>
    </xf>
    <xf numFmtId="0" fontId="23" fillId="25" borderId="0" xfId="0" applyFont="1" applyFill="1" applyBorder="1" applyProtection="1">
      <protection locked="0"/>
    </xf>
    <xf numFmtId="0" fontId="23" fillId="25" borderId="25" xfId="0" applyFont="1" applyFill="1" applyBorder="1" applyProtection="1">
      <protection locked="0"/>
    </xf>
    <xf numFmtId="164" fontId="28" fillId="0" borderId="13" xfId="0" applyNumberFormat="1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right"/>
      <protection locked="0"/>
    </xf>
    <xf numFmtId="0" fontId="28" fillId="0" borderId="13" xfId="0" applyFont="1" applyBorder="1" applyAlignment="1" applyProtection="1">
      <alignment horizontal="left"/>
      <protection locked="0"/>
    </xf>
    <xf numFmtId="164" fontId="28" fillId="0" borderId="13" xfId="0" applyNumberFormat="1" applyFont="1" applyFill="1" applyBorder="1" applyAlignment="1" applyProtection="1">
      <protection locked="0"/>
    </xf>
    <xf numFmtId="0" fontId="28" fillId="0" borderId="11" xfId="0" applyNumberFormat="1" applyFont="1" applyBorder="1" applyAlignment="1" applyProtection="1">
      <alignment horizontal="left" vertical="center"/>
      <protection locked="0"/>
    </xf>
    <xf numFmtId="164" fontId="28" fillId="0" borderId="11" xfId="0" applyNumberFormat="1" applyFont="1" applyBorder="1" applyAlignment="1" applyProtection="1">
      <alignment horizontal="right" vertical="center"/>
      <protection locked="0"/>
    </xf>
    <xf numFmtId="164" fontId="28" fillId="0" borderId="11" xfId="0" applyNumberFormat="1" applyFont="1" applyBorder="1" applyAlignment="1" applyProtection="1">
      <alignment horizontal="right"/>
      <protection locked="0"/>
    </xf>
    <xf numFmtId="164" fontId="28" fillId="0" borderId="11" xfId="0" applyNumberFormat="1" applyFont="1" applyBorder="1" applyAlignment="1" applyProtection="1">
      <alignment horizontal="left" vertical="center"/>
      <protection locked="0"/>
    </xf>
    <xf numFmtId="164" fontId="28" fillId="0" borderId="11" xfId="0" applyNumberFormat="1" applyFont="1" applyFill="1" applyBorder="1" applyAlignment="1" applyProtection="1">
      <protection locked="0"/>
    </xf>
    <xf numFmtId="0" fontId="45" fillId="0" borderId="10" xfId="33" applyFont="1" applyFill="1" applyBorder="1" applyAlignment="1">
      <alignment horizontal="center" vertical="top"/>
    </xf>
    <xf numFmtId="0" fontId="45" fillId="0" borderId="10" xfId="33" applyFont="1" applyFill="1" applyBorder="1" applyAlignment="1">
      <alignment horizontal="left" vertical="top"/>
    </xf>
    <xf numFmtId="0" fontId="45" fillId="0" borderId="10" xfId="33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/>
    <xf numFmtId="0" fontId="45" fillId="0" borderId="10" xfId="31" applyFont="1" applyFill="1" applyBorder="1" applyAlignment="1">
      <alignment horizontal="center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45" fillId="0" borderId="10" xfId="31" applyFont="1" applyFill="1" applyBorder="1" applyAlignment="1"/>
    <xf numFmtId="0" fontId="46" fillId="0" borderId="10" xfId="0" applyFont="1" applyFill="1" applyBorder="1" applyAlignment="1"/>
    <xf numFmtId="0" fontId="45" fillId="0" borderId="10" xfId="34" applyFont="1" applyFill="1" applyBorder="1" applyAlignment="1">
      <alignment horizontal="center"/>
    </xf>
    <xf numFmtId="0" fontId="45" fillId="0" borderId="10" xfId="34" applyFont="1" applyFill="1" applyBorder="1" applyAlignment="1"/>
    <xf numFmtId="0" fontId="45" fillId="0" borderId="10" xfId="0" applyFont="1" applyFill="1" applyBorder="1" applyAlignment="1">
      <alignment wrapText="1"/>
    </xf>
    <xf numFmtId="0" fontId="28" fillId="0" borderId="10" xfId="0" applyNumberFormat="1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10" xfId="0" applyNumberFormat="1" applyFont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8" fillId="0" borderId="13" xfId="0" applyFont="1" applyFill="1" applyBorder="1" applyAlignment="1" applyProtection="1">
      <alignment horizontal="right" vertical="center"/>
      <protection locked="0"/>
    </xf>
    <xf numFmtId="0" fontId="28" fillId="0" borderId="20" xfId="0" applyFont="1" applyFill="1" applyBorder="1" applyAlignment="1" applyProtection="1">
      <alignment horizontal="right" vertical="center"/>
      <protection locked="0"/>
    </xf>
    <xf numFmtId="0" fontId="28" fillId="0" borderId="13" xfId="0" applyFont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right"/>
      <protection locked="0"/>
    </xf>
    <xf numFmtId="164" fontId="28" fillId="0" borderId="10" xfId="0" applyNumberFormat="1" applyFont="1" applyFill="1" applyBorder="1" applyAlignment="1" applyProtection="1">
      <alignment horizontal="right"/>
      <protection locked="0"/>
    </xf>
    <xf numFmtId="0" fontId="28" fillId="0" borderId="10" xfId="0" applyFont="1" applyBorder="1" applyAlignment="1">
      <alignment vertical="top" wrapText="1"/>
    </xf>
    <xf numFmtId="0" fontId="28" fillId="0" borderId="20" xfId="0" applyFont="1" applyBorder="1" applyAlignment="1" applyProtection="1">
      <alignment horizontal="right" vertical="center"/>
      <protection locked="0"/>
    </xf>
    <xf numFmtId="0" fontId="28" fillId="0" borderId="22" xfId="0" applyFont="1" applyFill="1" applyBorder="1" applyAlignment="1" applyProtection="1">
      <alignment horizontal="right"/>
      <protection locked="0"/>
    </xf>
    <xf numFmtId="0" fontId="28" fillId="0" borderId="20" xfId="0" applyFont="1" applyFill="1" applyBorder="1" applyAlignment="1" applyProtection="1">
      <alignment horizontal="right"/>
      <protection locked="0"/>
    </xf>
    <xf numFmtId="0" fontId="28" fillId="0" borderId="17" xfId="0" applyNumberFormat="1" applyFont="1" applyBorder="1" applyAlignment="1" applyProtection="1">
      <alignment horizontal="right" vertical="center"/>
      <protection locked="0"/>
    </xf>
    <xf numFmtId="10" fontId="28" fillId="0" borderId="13" xfId="0" applyNumberFormat="1" applyFont="1" applyBorder="1" applyAlignment="1" applyProtection="1">
      <protection locked="0"/>
    </xf>
    <xf numFmtId="0" fontId="28" fillId="0" borderId="0" xfId="0" applyFont="1"/>
    <xf numFmtId="0" fontId="28" fillId="0" borderId="10" xfId="0" applyFont="1" applyBorder="1"/>
    <xf numFmtId="0" fontId="28" fillId="0" borderId="11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 applyProtection="1">
      <alignment horizontal="left" vertical="center" wrapText="1"/>
      <protection locked="0"/>
    </xf>
    <xf numFmtId="10" fontId="28" fillId="0" borderId="22" xfId="0" applyNumberFormat="1" applyFont="1" applyBorder="1" applyAlignment="1" applyProtection="1">
      <protection locked="0"/>
    </xf>
    <xf numFmtId="0" fontId="28" fillId="0" borderId="20" xfId="0" applyFont="1" applyBorder="1" applyAlignment="1" applyProtection="1">
      <alignment horizontal="left"/>
      <protection locked="0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14" fontId="28" fillId="0" borderId="11" xfId="0" applyNumberFormat="1" applyFont="1" applyBorder="1" applyProtection="1">
      <protection locked="0"/>
    </xf>
    <xf numFmtId="10" fontId="28" fillId="0" borderId="17" xfId="0" applyNumberFormat="1" applyFont="1" applyBorder="1" applyAlignment="1" applyProtection="1">
      <protection locked="0"/>
    </xf>
    <xf numFmtId="164" fontId="28" fillId="0" borderId="10" xfId="0" applyNumberFormat="1" applyFont="1" applyBorder="1" applyAlignment="1" applyProtection="1">
      <alignment horizontal="left"/>
      <protection locked="0"/>
    </xf>
    <xf numFmtId="0" fontId="28" fillId="0" borderId="17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left" wrapText="1"/>
      <protection hidden="1"/>
    </xf>
    <xf numFmtId="0" fontId="14" fillId="0" borderId="19" xfId="0" applyFont="1" applyFill="1" applyBorder="1" applyAlignment="1" applyProtection="1">
      <alignment horizontal="left" wrapText="1"/>
      <protection hidden="1"/>
    </xf>
    <xf numFmtId="0" fontId="40" fillId="26" borderId="17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7" fillId="22" borderId="19" xfId="0" applyFont="1" applyFill="1" applyBorder="1" applyAlignment="1" applyProtection="1">
      <alignment horizontal="center" vertical="center"/>
      <protection locked="0"/>
    </xf>
    <xf numFmtId="0" fontId="27" fillId="22" borderId="11" xfId="0" applyFont="1" applyFill="1" applyBorder="1" applyAlignment="1" applyProtection="1">
      <alignment horizontal="center" vertical="center"/>
      <protection locked="0"/>
    </xf>
    <xf numFmtId="0" fontId="23" fillId="22" borderId="19" xfId="0" applyFont="1" applyFill="1" applyBorder="1" applyAlignment="1" applyProtection="1">
      <alignment horizontal="center" vertical="center" wrapText="1"/>
      <protection locked="0"/>
    </xf>
    <xf numFmtId="0" fontId="23" fillId="22" borderId="11" xfId="0" applyFont="1" applyFill="1" applyBorder="1" applyAlignment="1" applyProtection="1">
      <alignment horizontal="center" vertical="center" wrapText="1"/>
      <protection locked="0"/>
    </xf>
    <xf numFmtId="0" fontId="27" fillId="22" borderId="13" xfId="0" applyFont="1" applyFill="1" applyBorder="1" applyAlignment="1" applyProtection="1">
      <alignment horizontal="center" vertical="center"/>
      <protection locked="0"/>
    </xf>
    <xf numFmtId="0" fontId="23" fillId="22" borderId="13" xfId="0" applyFont="1" applyFill="1" applyBorder="1" applyAlignment="1" applyProtection="1">
      <alignment horizontal="center" vertical="center" wrapText="1"/>
      <protection locked="0"/>
    </xf>
    <xf numFmtId="0" fontId="47" fillId="27" borderId="13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 wrapText="1"/>
    </xf>
    <xf numFmtId="0" fontId="27" fillId="22" borderId="20" xfId="0" applyFont="1" applyFill="1" applyBorder="1" applyAlignment="1" applyProtection="1">
      <alignment horizontal="center"/>
      <protection locked="0"/>
    </xf>
    <xf numFmtId="0" fontId="27" fillId="22" borderId="22" xfId="0" applyFont="1" applyFill="1" applyBorder="1" applyAlignment="1" applyProtection="1">
      <alignment horizontal="center"/>
      <protection locked="0"/>
    </xf>
    <xf numFmtId="0" fontId="27" fillId="22" borderId="16" xfId="0" applyFont="1" applyFill="1" applyBorder="1" applyAlignment="1" applyProtection="1">
      <alignment horizontal="center"/>
      <protection locked="0"/>
    </xf>
    <xf numFmtId="0" fontId="27" fillId="22" borderId="23" xfId="0" applyFont="1" applyFill="1" applyBorder="1" applyAlignment="1" applyProtection="1">
      <alignment horizontal="center"/>
      <protection locked="0"/>
    </xf>
    <xf numFmtId="0" fontId="27" fillId="22" borderId="24" xfId="0" applyFont="1" applyFill="1" applyBorder="1" applyAlignment="1" applyProtection="1">
      <alignment horizontal="center"/>
      <protection locked="0"/>
    </xf>
    <xf numFmtId="0" fontId="27" fillId="22" borderId="14" xfId="0" applyFont="1" applyFill="1" applyBorder="1" applyAlignment="1" applyProtection="1">
      <alignment horizontal="center"/>
      <protection locked="0"/>
    </xf>
    <xf numFmtId="0" fontId="27" fillId="22" borderId="10" xfId="0" applyFont="1" applyFill="1" applyBorder="1" applyAlignment="1" applyProtection="1">
      <alignment horizontal="center"/>
      <protection locked="0"/>
    </xf>
    <xf numFmtId="0" fontId="27" fillId="22" borderId="13" xfId="0" applyFont="1" applyFill="1" applyBorder="1" applyAlignment="1" applyProtection="1">
      <alignment horizontal="center"/>
      <protection locked="0"/>
    </xf>
    <xf numFmtId="0" fontId="27" fillId="22" borderId="19" xfId="0" applyFont="1" applyFill="1" applyBorder="1" applyAlignment="1" applyProtection="1">
      <alignment horizontal="center"/>
      <protection locked="0"/>
    </xf>
    <xf numFmtId="0" fontId="27" fillId="22" borderId="11" xfId="0" applyFont="1" applyFill="1" applyBorder="1" applyAlignment="1" applyProtection="1">
      <alignment horizontal="center"/>
      <protection locked="0"/>
    </xf>
    <xf numFmtId="14" fontId="23" fillId="23" borderId="0" xfId="0" applyNumberFormat="1" applyFont="1" applyFill="1" applyAlignment="1" applyProtection="1">
      <alignment horizontal="center"/>
      <protection locked="0"/>
    </xf>
    <xf numFmtId="0" fontId="23" fillId="25" borderId="0" xfId="0" applyFont="1" applyFill="1" applyAlignment="1" applyProtection="1">
      <alignment horizontal="center"/>
      <protection locked="0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0" fontId="23" fillId="25" borderId="19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23" fillId="22" borderId="0" xfId="0" applyFont="1" applyFill="1" applyAlignment="1" applyProtection="1">
      <alignment horizontal="center"/>
      <protection locked="0"/>
    </xf>
    <xf numFmtId="0" fontId="23" fillId="28" borderId="26" xfId="0" applyFont="1" applyFill="1" applyBorder="1" applyAlignment="1" applyProtection="1">
      <alignment horizontal="center"/>
      <protection locked="0"/>
    </xf>
    <xf numFmtId="0" fontId="23" fillId="28" borderId="27" xfId="0" applyFont="1" applyFill="1" applyBorder="1" applyAlignment="1" applyProtection="1">
      <alignment horizontal="center"/>
      <protection locked="0"/>
    </xf>
    <xf numFmtId="0" fontId="23" fillId="23" borderId="0" xfId="0" applyFont="1" applyFill="1" applyAlignment="1" applyProtection="1">
      <alignment horizontal="center" wrapText="1"/>
      <protection locked="0"/>
    </xf>
    <xf numFmtId="0" fontId="24" fillId="22" borderId="0" xfId="0" applyFont="1" applyFill="1" applyAlignment="1" applyProtection="1">
      <alignment horizontal="center" wrapText="1"/>
      <protection locked="0"/>
    </xf>
    <xf numFmtId="0" fontId="27" fillId="22" borderId="21" xfId="0" applyFont="1" applyFill="1" applyBorder="1" applyAlignment="1" applyProtection="1">
      <alignment horizontal="right"/>
      <protection locked="0"/>
    </xf>
    <xf numFmtId="0" fontId="25" fillId="22" borderId="0" xfId="0" applyFont="1" applyFill="1" applyAlignment="1" applyProtection="1">
      <alignment horizontal="center"/>
      <protection locked="0"/>
    </xf>
    <xf numFmtId="0" fontId="27" fillId="22" borderId="21" xfId="0" applyFont="1" applyFill="1" applyBorder="1" applyAlignment="1" applyProtection="1">
      <alignment horizontal="center"/>
      <protection locked="0"/>
    </xf>
    <xf numFmtId="0" fontId="47" fillId="27" borderId="16" xfId="0" applyFont="1" applyFill="1" applyBorder="1" applyAlignment="1">
      <alignment horizontal="center" vertical="center" wrapText="1"/>
    </xf>
    <xf numFmtId="0" fontId="47" fillId="27" borderId="0" xfId="0" applyFont="1" applyFill="1" applyBorder="1" applyAlignment="1">
      <alignment horizontal="center" vertical="center" wrapText="1"/>
    </xf>
    <xf numFmtId="0" fontId="23" fillId="23" borderId="0" xfId="0" applyFont="1" applyFill="1" applyAlignment="1" applyProtection="1">
      <alignment horizontal="center"/>
      <protection locked="0"/>
    </xf>
    <xf numFmtId="14" fontId="23" fillId="25" borderId="0" xfId="0" applyNumberFormat="1" applyFont="1" applyFill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horizontal="left" vertical="center" wrapText="1"/>
      <protection locked="0"/>
    </xf>
    <xf numFmtId="0" fontId="23" fillId="25" borderId="0" xfId="0" applyFont="1" applyFill="1" applyAlignment="1" applyProtection="1">
      <alignment horizontal="center" wrapText="1"/>
      <protection locked="0"/>
    </xf>
  </cellXfs>
  <cellStyles count="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Excel Built-in Normal" xfId="13"/>
    <cellStyle name="Акцент1" xfId="14" builtinId="29" customBuiltin="1"/>
    <cellStyle name="Акцент2" xfId="15" builtinId="33" customBuiltin="1"/>
    <cellStyle name="Акцент3" xfId="16" builtinId="37" customBuiltin="1"/>
    <cellStyle name="Акцент4" xfId="17" builtinId="41" customBuiltin="1"/>
    <cellStyle name="Акцент5" xfId="18" builtinId="45" customBuiltin="1"/>
    <cellStyle name="Акцент6" xfId="19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27" builtinId="25" customBuiltin="1"/>
    <cellStyle name="Контрольная ячейка" xfId="28" builtinId="23" customBuiltin="1"/>
    <cellStyle name="Название" xfId="29" builtinId="15" customBuiltin="1"/>
    <cellStyle name="Нейтральный" xfId="30" builtinId="28" customBuiltin="1"/>
    <cellStyle name="Обычный" xfId="0" builtinId="0"/>
    <cellStyle name="Обычный 10" xfId="31"/>
    <cellStyle name="Обычный 12 3 10" xfId="32"/>
    <cellStyle name="Обычный 2" xfId="33"/>
    <cellStyle name="Обычный 29 2" xfId="34"/>
    <cellStyle name="Обычный 3" xfId="35"/>
    <cellStyle name="Обычный 32" xfId="36"/>
    <cellStyle name="Обычный 37" xfId="37"/>
    <cellStyle name="Обычный 4" xfId="38"/>
    <cellStyle name="Обычный 6" xfId="39"/>
    <cellStyle name="Обычный 6 1" xfId="40"/>
    <cellStyle name="Обычный 6 2" xfId="41"/>
    <cellStyle name="Обычный 6 3" xfId="42"/>
    <cellStyle name="Обычный 6 4" xfId="43"/>
    <cellStyle name="Обычный 6 5" xfId="44"/>
    <cellStyle name="Обычный 6 6" xfId="45"/>
    <cellStyle name="Обычный 6 7" xfId="46"/>
    <cellStyle name="Плохой" xfId="47" builtinId="27" customBuiltin="1"/>
    <cellStyle name="Пояснение" xfId="48" builtinId="53" customBuiltin="1"/>
    <cellStyle name="Примечание" xfId="49" builtinId="10" customBuiltin="1"/>
    <cellStyle name="Процентный" xfId="50" builtinId="5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Количество участников школьного этапа ВсОШ 2019-2020</a:t>
            </a:r>
          </a:p>
        </c:rich>
      </c:tx>
    </c:title>
    <c:plotArea>
      <c:layout>
        <c:manualLayout>
          <c:layoutTarget val="inner"/>
          <c:xMode val="edge"/>
          <c:yMode val="edge"/>
          <c:x val="0.10344827586206895"/>
          <c:y val="0.12607449856733532"/>
          <c:w val="0.87256371814092959"/>
          <c:h val="0.54727793696275051"/>
        </c:manualLayout>
      </c:layout>
      <c:barChart>
        <c:barDir val="col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Отчет!$D$14:$D$37</c:f>
              <c:numCache>
                <c:formatCode>General</c:formatCode>
                <c:ptCount val="24"/>
                <c:pt idx="0">
                  <c:v>64</c:v>
                </c:pt>
                <c:pt idx="1">
                  <c:v>3</c:v>
                </c:pt>
                <c:pt idx="2">
                  <c:v>38</c:v>
                </c:pt>
                <c:pt idx="3">
                  <c:v>49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102</c:v>
                </c:pt>
                <c:pt idx="12">
                  <c:v>0</c:v>
                </c:pt>
                <c:pt idx="13">
                  <c:v>7</c:v>
                </c:pt>
                <c:pt idx="14">
                  <c:v>74</c:v>
                </c:pt>
                <c:pt idx="15">
                  <c:v>12</c:v>
                </c:pt>
                <c:pt idx="16">
                  <c:v>113</c:v>
                </c:pt>
                <c:pt idx="17">
                  <c:v>16</c:v>
                </c:pt>
                <c:pt idx="18">
                  <c:v>4</c:v>
                </c:pt>
                <c:pt idx="19">
                  <c:v>14</c:v>
                </c:pt>
                <c:pt idx="20">
                  <c:v>0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</c:ser>
        <c:gapWidth val="75"/>
        <c:overlap val="-25"/>
        <c:axId val="103978496"/>
        <c:axId val="103980032"/>
      </c:barChart>
      <c:catAx>
        <c:axId val="103978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3980032"/>
        <c:crosses val="autoZero"/>
        <c:auto val="1"/>
        <c:lblAlgn val="ctr"/>
        <c:lblOffset val="100"/>
      </c:catAx>
      <c:valAx>
        <c:axId val="103980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39784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Количество победителей и призеров школьного этапа  ВсОШ 2019-2020
</a:t>
            </a:r>
          </a:p>
        </c:rich>
      </c:tx>
    </c:title>
    <c:plotArea>
      <c:layout>
        <c:manualLayout>
          <c:layoutTarget val="inner"/>
          <c:xMode val="edge"/>
          <c:yMode val="edge"/>
          <c:x val="7.2951739618406314E-2"/>
          <c:y val="0.20327868852459022"/>
          <c:w val="0.80471380471380471"/>
          <c:h val="0.42295081967213127"/>
        </c:manualLayout>
      </c:layout>
      <c:barChart>
        <c:barDir val="col"/>
        <c:grouping val="clustered"/>
        <c:ser>
          <c:idx val="0"/>
          <c:order val="0"/>
          <c:tx>
            <c:strRef>
              <c:f>Отчет!$G$12</c:f>
              <c:strCache>
                <c:ptCount val="1"/>
                <c:pt idx="0">
                  <c:v>Призеры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Отчет!$G$14:$G$37</c:f>
              <c:numCache>
                <c:formatCode>General</c:formatCode>
                <c:ptCount val="24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Отчет!$H$12</c:f>
              <c:strCache>
                <c:ptCount val="1"/>
                <c:pt idx="0">
                  <c:v>Победители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Отчет!$H$14:$H$37</c:f>
              <c:numCache>
                <c:formatCode>General</c:formatCode>
                <c:ptCount val="24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7450752"/>
        <c:axId val="107452288"/>
      </c:barChart>
      <c:catAx>
        <c:axId val="107450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452288"/>
        <c:crosses val="autoZero"/>
        <c:auto val="1"/>
        <c:lblAlgn val="ctr"/>
        <c:lblOffset val="100"/>
      </c:catAx>
      <c:valAx>
        <c:axId val="107452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4507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35" l="0.39370078740157488" r="0.39370078740157488" t="0.74803149606299235" header="0.31496062992126006" footer="0.3149606299212600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Школьный этап ВОсШ 2019-2020 уч.год   </a:t>
            </a:r>
          </a:p>
        </c:rich>
      </c:tx>
      <c:layout>
        <c:manualLayout>
          <c:xMode val="edge"/>
          <c:yMode val="edge"/>
          <c:x val="0.31988735313665212"/>
          <c:y val="4.879545717162715E-2"/>
        </c:manualLayout>
      </c:layout>
    </c:title>
    <c:plotArea>
      <c:layout>
        <c:manualLayout>
          <c:layoutTarget val="inner"/>
          <c:xMode val="edge"/>
          <c:yMode val="edge"/>
          <c:x val="7.1888412017167377E-2"/>
          <c:y val="0.13836477987421383"/>
          <c:w val="0.84978540772532185"/>
          <c:h val="0.49371069182389954"/>
        </c:manualLayout>
      </c:layout>
      <c:barChart>
        <c:barDir val="col"/>
        <c:grouping val="clustered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Параллель!$C$2:$C$25</c:f>
              <c:numCache>
                <c:formatCode>General</c:formatCode>
                <c:ptCount val="24"/>
                <c:pt idx="11">
                  <c:v>25</c:v>
                </c:pt>
                <c:pt idx="16">
                  <c:v>27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Параллель!$D$2:$D$25</c:f>
              <c:numCache>
                <c:formatCode>General</c:formatCode>
                <c:ptCount val="24"/>
                <c:pt idx="0">
                  <c:v>11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Параллель!$E$2:$E$25</c:f>
              <c:numCache>
                <c:formatCode>General</c:formatCode>
                <c:ptCount val="24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16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Параллель!$F$2:$F$25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9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Параллель!$G$2:$G$25</c:f>
              <c:numCache>
                <c:formatCode>General</c:formatCode>
                <c:ptCount val="24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Параллель!$H$2:$H$25</c:f>
              <c:numCache>
                <c:formatCode>General</c:formatCode>
                <c:ptCount val="24"/>
                <c:pt idx="0">
                  <c:v>12</c:v>
                </c:pt>
                <c:pt idx="1">
                  <c:v>0</c:v>
                </c:pt>
                <c:pt idx="2">
                  <c:v>15</c:v>
                </c:pt>
                <c:pt idx="3">
                  <c:v>13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17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Параллель!$I$2:$I$25</c:f>
              <c:numCache>
                <c:formatCode>General</c:formatCode>
                <c:ptCount val="24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14</c:v>
                </c:pt>
                <c:pt idx="15">
                  <c:v>8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Параллель!$J$2:$J$25</c:f>
              <c:numCache>
                <c:formatCode>General</c:formatCode>
                <c:ptCount val="2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11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axId val="107513344"/>
        <c:axId val="107514880"/>
      </c:barChart>
      <c:catAx>
        <c:axId val="1075133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514880"/>
        <c:crosses val="autoZero"/>
        <c:auto val="1"/>
        <c:lblAlgn val="ctr"/>
        <c:lblOffset val="100"/>
      </c:catAx>
      <c:valAx>
        <c:axId val="1075148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51334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257175</xdr:colOff>
      <xdr:row>20</xdr:row>
      <xdr:rowOff>85725</xdr:rowOff>
    </xdr:to>
    <xdr:graphicFrame macro="">
      <xdr:nvGraphicFramePr>
        <xdr:cNvPr id="100798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561975</xdr:colOff>
      <xdr:row>38</xdr:row>
      <xdr:rowOff>104775</xdr:rowOff>
    </xdr:to>
    <xdr:graphicFrame macro="">
      <xdr:nvGraphicFramePr>
        <xdr:cNvPr id="100799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0</xdr:row>
      <xdr:rowOff>0</xdr:rowOff>
    </xdr:from>
    <xdr:to>
      <xdr:col>25</xdr:col>
      <xdr:colOff>114300</xdr:colOff>
      <xdr:row>18</xdr:row>
      <xdr:rowOff>114300</xdr:rowOff>
    </xdr:to>
    <xdr:graphicFrame macro="">
      <xdr:nvGraphicFramePr>
        <xdr:cNvPr id="100799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6"/>
  <sheetViews>
    <sheetView workbookViewId="0">
      <pane ySplit="1" topLeftCell="A2" activePane="bottomLeft" state="frozen"/>
      <selection pane="bottomLeft" activeCell="D22" sqref="D22"/>
    </sheetView>
  </sheetViews>
  <sheetFormatPr defaultRowHeight="12.75"/>
  <cols>
    <col min="1" max="1" width="20.85546875" customWidth="1"/>
    <col min="2" max="2" width="13" customWidth="1"/>
    <col min="3" max="4" width="8.42578125" customWidth="1"/>
    <col min="5" max="5" width="9.42578125" customWidth="1"/>
  </cols>
  <sheetData>
    <row r="1" spans="1:10" ht="24" customHeight="1" thickBot="1">
      <c r="A1" s="63" t="s">
        <v>54</v>
      </c>
      <c r="B1" s="93" t="s">
        <v>60</v>
      </c>
      <c r="C1" s="92" t="s">
        <v>94</v>
      </c>
      <c r="D1" s="92" t="s">
        <v>70</v>
      </c>
      <c r="E1" s="92" t="s">
        <v>95</v>
      </c>
      <c r="F1" s="92" t="s">
        <v>71</v>
      </c>
      <c r="G1" s="92" t="s">
        <v>72</v>
      </c>
      <c r="H1" s="92" t="s">
        <v>73</v>
      </c>
      <c r="I1" s="92" t="s">
        <v>74</v>
      </c>
      <c r="J1" s="92" t="s">
        <v>75</v>
      </c>
    </row>
    <row r="2" spans="1:10">
      <c r="A2" s="64" t="s">
        <v>62</v>
      </c>
      <c r="B2" s="86">
        <f t="shared" ref="B2:B25" ca="1" si="0">SUM(C2:J2)</f>
        <v>64</v>
      </c>
      <c r="C2" s="133"/>
      <c r="D2" s="133">
        <f t="shared" ref="D2:D25" ca="1" si="1">COUNTIF(INDIRECT($A2&amp;"!$h$2:$h$1000"),"5")</f>
        <v>11</v>
      </c>
      <c r="E2" s="133">
        <f t="shared" ref="E2:E25" ca="1" si="2">COUNTIF(INDIRECT($A2&amp;"!$h$2:$h$1000"),"6")</f>
        <v>10</v>
      </c>
      <c r="F2" s="133">
        <f t="shared" ref="F2:F25" ca="1" si="3">COUNTIF(INDIRECT($A2&amp;"!$h$2:$h$1000"),"7")</f>
        <v>4</v>
      </c>
      <c r="G2" s="133">
        <f t="shared" ref="G2:G25" ca="1" si="4">COUNTIF(INDIRECT($A2&amp;"!$h$2:$h$1000"),"8")</f>
        <v>12</v>
      </c>
      <c r="H2" s="133">
        <f t="shared" ref="H2:H25" ca="1" si="5">COUNTIF(INDIRECT($A2&amp;"!$h$2:$h$1000"),"9")</f>
        <v>12</v>
      </c>
      <c r="I2" s="133">
        <f t="shared" ref="I2:I25" ca="1" si="6">COUNTIF(INDIRECT($A2&amp;"!$h$2:$h$1000"),"10")</f>
        <v>7</v>
      </c>
      <c r="J2" s="133">
        <f t="shared" ref="J2:J25" ca="1" si="7">COUNTIF(INDIRECT($A2&amp;"!$h$2:$h$1000"),"11")</f>
        <v>8</v>
      </c>
    </row>
    <row r="3" spans="1:10">
      <c r="A3" s="65" t="s">
        <v>19</v>
      </c>
      <c r="B3" s="86">
        <f t="shared" ca="1" si="0"/>
        <v>3</v>
      </c>
      <c r="C3" s="134"/>
      <c r="D3" s="134">
        <f t="shared" ca="1" si="1"/>
        <v>0</v>
      </c>
      <c r="E3" s="134">
        <f t="shared" ca="1" si="2"/>
        <v>0</v>
      </c>
      <c r="F3" s="134">
        <f t="shared" ca="1" si="3"/>
        <v>0</v>
      </c>
      <c r="G3" s="134">
        <f t="shared" ca="1" si="4"/>
        <v>0</v>
      </c>
      <c r="H3" s="134">
        <f t="shared" ca="1" si="5"/>
        <v>0</v>
      </c>
      <c r="I3" s="134">
        <f t="shared" ca="1" si="6"/>
        <v>0</v>
      </c>
      <c r="J3" s="134">
        <f t="shared" ca="1" si="7"/>
        <v>3</v>
      </c>
    </row>
    <row r="4" spans="1:10">
      <c r="A4" s="65" t="s">
        <v>12</v>
      </c>
      <c r="B4" s="86">
        <f t="shared" ca="1" si="0"/>
        <v>38</v>
      </c>
      <c r="C4" s="134"/>
      <c r="D4" s="134">
        <f t="shared" ca="1" si="1"/>
        <v>3</v>
      </c>
      <c r="E4" s="134">
        <f t="shared" ca="1" si="2"/>
        <v>6</v>
      </c>
      <c r="F4" s="134">
        <f t="shared" ca="1" si="3"/>
        <v>5</v>
      </c>
      <c r="G4" s="134">
        <f t="shared" ca="1" si="4"/>
        <v>4</v>
      </c>
      <c r="H4" s="134">
        <f t="shared" ca="1" si="5"/>
        <v>15</v>
      </c>
      <c r="I4" s="134">
        <f t="shared" ca="1" si="6"/>
        <v>5</v>
      </c>
      <c r="J4" s="134">
        <f t="shared" ca="1" si="7"/>
        <v>0</v>
      </c>
    </row>
    <row r="5" spans="1:10">
      <c r="A5" s="65" t="s">
        <v>24</v>
      </c>
      <c r="B5" s="86">
        <f t="shared" ca="1" si="0"/>
        <v>49</v>
      </c>
      <c r="C5" s="134"/>
      <c r="D5" s="134">
        <f t="shared" ca="1" si="1"/>
        <v>2</v>
      </c>
      <c r="E5" s="134">
        <f t="shared" ca="1" si="2"/>
        <v>1</v>
      </c>
      <c r="F5" s="134">
        <f t="shared" ca="1" si="3"/>
        <v>10</v>
      </c>
      <c r="G5" s="134">
        <f t="shared" ca="1" si="4"/>
        <v>6</v>
      </c>
      <c r="H5" s="134">
        <f t="shared" ca="1" si="5"/>
        <v>13</v>
      </c>
      <c r="I5" s="134">
        <f t="shared" ca="1" si="6"/>
        <v>10</v>
      </c>
      <c r="J5" s="134">
        <f t="shared" ca="1" si="7"/>
        <v>7</v>
      </c>
    </row>
    <row r="6" spans="1:10">
      <c r="A6" s="65" t="s">
        <v>56</v>
      </c>
      <c r="B6" s="86">
        <f t="shared" ca="1" si="0"/>
        <v>5</v>
      </c>
      <c r="C6" s="134"/>
      <c r="D6" s="134">
        <f t="shared" ca="1" si="1"/>
        <v>0</v>
      </c>
      <c r="E6" s="134">
        <f t="shared" ca="1" si="2"/>
        <v>0</v>
      </c>
      <c r="F6" s="134">
        <f t="shared" ca="1" si="3"/>
        <v>3</v>
      </c>
      <c r="G6" s="134">
        <f t="shared" ca="1" si="4"/>
        <v>2</v>
      </c>
      <c r="H6" s="134">
        <f t="shared" ca="1" si="5"/>
        <v>0</v>
      </c>
      <c r="I6" s="134">
        <f t="shared" ca="1" si="6"/>
        <v>0</v>
      </c>
      <c r="J6" s="134">
        <f t="shared" ca="1" si="7"/>
        <v>0</v>
      </c>
    </row>
    <row r="7" spans="1:10">
      <c r="A7" s="65" t="s">
        <v>55</v>
      </c>
      <c r="B7" s="86">
        <f t="shared" ca="1" si="0"/>
        <v>6</v>
      </c>
      <c r="C7" s="134"/>
      <c r="D7" s="134">
        <f t="shared" ca="1" si="1"/>
        <v>0</v>
      </c>
      <c r="E7" s="134">
        <f t="shared" ca="1" si="2"/>
        <v>0</v>
      </c>
      <c r="F7" s="134">
        <f t="shared" ca="1" si="3"/>
        <v>0</v>
      </c>
      <c r="G7" s="134">
        <f t="shared" ca="1" si="4"/>
        <v>3</v>
      </c>
      <c r="H7" s="134">
        <f t="shared" ca="1" si="5"/>
        <v>3</v>
      </c>
      <c r="I7" s="134">
        <f t="shared" ca="1" si="6"/>
        <v>0</v>
      </c>
      <c r="J7" s="134">
        <f t="shared" ca="1" si="7"/>
        <v>0</v>
      </c>
    </row>
    <row r="8" spans="1:10">
      <c r="A8" s="65" t="s">
        <v>116</v>
      </c>
      <c r="B8" s="86">
        <f ca="1">SUM(C8:J8)</f>
        <v>0</v>
      </c>
      <c r="C8" s="134"/>
      <c r="D8" s="134">
        <f t="shared" ca="1" si="1"/>
        <v>0</v>
      </c>
      <c r="E8" s="134">
        <f t="shared" ca="1" si="2"/>
        <v>0</v>
      </c>
      <c r="F8" s="134">
        <f t="shared" ca="1" si="3"/>
        <v>0</v>
      </c>
      <c r="G8" s="134">
        <f t="shared" ca="1" si="4"/>
        <v>0</v>
      </c>
      <c r="H8" s="134">
        <f t="shared" ca="1" si="5"/>
        <v>0</v>
      </c>
      <c r="I8" s="134">
        <f t="shared" ca="1" si="6"/>
        <v>0</v>
      </c>
      <c r="J8" s="134">
        <f t="shared" ca="1" si="7"/>
        <v>0</v>
      </c>
    </row>
    <row r="9" spans="1:10">
      <c r="A9" s="65" t="s">
        <v>25</v>
      </c>
      <c r="B9" s="86">
        <f t="shared" ca="1" si="0"/>
        <v>27</v>
      </c>
      <c r="C9" s="134"/>
      <c r="D9" s="134">
        <f t="shared" ca="1" si="1"/>
        <v>0</v>
      </c>
      <c r="E9" s="134">
        <f t="shared" ca="1" si="2"/>
        <v>5</v>
      </c>
      <c r="F9" s="134">
        <f t="shared" ca="1" si="3"/>
        <v>2</v>
      </c>
      <c r="G9" s="134">
        <f t="shared" ca="1" si="4"/>
        <v>7</v>
      </c>
      <c r="H9" s="134">
        <f t="shared" ca="1" si="5"/>
        <v>6</v>
      </c>
      <c r="I9" s="134">
        <f t="shared" ca="1" si="6"/>
        <v>0</v>
      </c>
      <c r="J9" s="134">
        <f t="shared" ca="1" si="7"/>
        <v>7</v>
      </c>
    </row>
    <row r="10" spans="1:10">
      <c r="A10" s="65" t="s">
        <v>88</v>
      </c>
      <c r="B10" s="86">
        <f t="shared" ca="1" si="0"/>
        <v>0</v>
      </c>
      <c r="C10" s="134"/>
      <c r="D10" s="134">
        <f t="shared" ca="1" si="1"/>
        <v>0</v>
      </c>
      <c r="E10" s="134">
        <f t="shared" ca="1" si="2"/>
        <v>0</v>
      </c>
      <c r="F10" s="134">
        <f t="shared" ca="1" si="3"/>
        <v>0</v>
      </c>
      <c r="G10" s="134">
        <f t="shared" ca="1" si="4"/>
        <v>0</v>
      </c>
      <c r="H10" s="134">
        <f t="shared" ca="1" si="5"/>
        <v>0</v>
      </c>
      <c r="I10" s="134">
        <f t="shared" ca="1" si="6"/>
        <v>0</v>
      </c>
      <c r="J10" s="134">
        <f t="shared" ca="1" si="7"/>
        <v>0</v>
      </c>
    </row>
    <row r="11" spans="1:10">
      <c r="A11" s="65" t="s">
        <v>89</v>
      </c>
      <c r="B11" s="86">
        <f t="shared" ca="1" si="0"/>
        <v>0</v>
      </c>
      <c r="C11" s="134"/>
      <c r="D11" s="134">
        <f t="shared" ca="1" si="1"/>
        <v>0</v>
      </c>
      <c r="E11" s="134">
        <f t="shared" ca="1" si="2"/>
        <v>0</v>
      </c>
      <c r="F11" s="134">
        <f t="shared" ca="1" si="3"/>
        <v>0</v>
      </c>
      <c r="G11" s="134">
        <f t="shared" ca="1" si="4"/>
        <v>0</v>
      </c>
      <c r="H11" s="134">
        <f t="shared" ca="1" si="5"/>
        <v>0</v>
      </c>
      <c r="I11" s="134">
        <f t="shared" ca="1" si="6"/>
        <v>0</v>
      </c>
      <c r="J11" s="134">
        <f t="shared" ca="1" si="7"/>
        <v>0</v>
      </c>
    </row>
    <row r="12" spans="1:10">
      <c r="A12" s="65" t="s">
        <v>22</v>
      </c>
      <c r="B12" s="86">
        <f t="shared" ca="1" si="0"/>
        <v>24</v>
      </c>
      <c r="C12" s="134"/>
      <c r="D12" s="134">
        <f t="shared" ca="1" si="1"/>
        <v>0</v>
      </c>
      <c r="E12" s="134">
        <f t="shared" ca="1" si="2"/>
        <v>3</v>
      </c>
      <c r="F12" s="134">
        <f t="shared" ca="1" si="3"/>
        <v>1</v>
      </c>
      <c r="G12" s="134">
        <f t="shared" ca="1" si="4"/>
        <v>7</v>
      </c>
      <c r="H12" s="134">
        <f t="shared" ca="1" si="5"/>
        <v>7</v>
      </c>
      <c r="I12" s="134">
        <f t="shared" ca="1" si="6"/>
        <v>0</v>
      </c>
      <c r="J12" s="134">
        <f t="shared" ca="1" si="7"/>
        <v>6</v>
      </c>
    </row>
    <row r="13" spans="1:10">
      <c r="A13" s="65" t="s">
        <v>10</v>
      </c>
      <c r="B13" s="86">
        <f t="shared" ca="1" si="0"/>
        <v>102</v>
      </c>
      <c r="C13" s="134">
        <f ca="1">COUNTIF(INDIRECT($A13&amp;"!$h$2:$h$1000"),"4")</f>
        <v>25</v>
      </c>
      <c r="D13" s="134">
        <f t="shared" ca="1" si="1"/>
        <v>14</v>
      </c>
      <c r="E13" s="134">
        <f t="shared" ca="1" si="2"/>
        <v>7</v>
      </c>
      <c r="F13" s="134">
        <f t="shared" ca="1" si="3"/>
        <v>8</v>
      </c>
      <c r="G13" s="134">
        <f t="shared" ca="1" si="4"/>
        <v>20</v>
      </c>
      <c r="H13" s="134">
        <f t="shared" ca="1" si="5"/>
        <v>14</v>
      </c>
      <c r="I13" s="134">
        <f t="shared" ca="1" si="6"/>
        <v>7</v>
      </c>
      <c r="J13" s="134">
        <f t="shared" ca="1" si="7"/>
        <v>7</v>
      </c>
    </row>
    <row r="14" spans="1:10">
      <c r="A14" s="65" t="s">
        <v>65</v>
      </c>
      <c r="B14" s="86">
        <f t="shared" ca="1" si="0"/>
        <v>0</v>
      </c>
      <c r="C14" s="134"/>
      <c r="D14" s="134">
        <f t="shared" ca="1" si="1"/>
        <v>0</v>
      </c>
      <c r="E14" s="134">
        <f t="shared" ca="1" si="2"/>
        <v>0</v>
      </c>
      <c r="F14" s="134">
        <f t="shared" ca="1" si="3"/>
        <v>0</v>
      </c>
      <c r="G14" s="134">
        <f t="shared" ca="1" si="4"/>
        <v>0</v>
      </c>
      <c r="H14" s="134">
        <f t="shared" ca="1" si="5"/>
        <v>0</v>
      </c>
      <c r="I14" s="134">
        <f t="shared" ca="1" si="6"/>
        <v>0</v>
      </c>
      <c r="J14" s="134">
        <f t="shared" ca="1" si="7"/>
        <v>0</v>
      </c>
    </row>
    <row r="15" spans="1:10">
      <c r="A15" s="65" t="s">
        <v>57</v>
      </c>
      <c r="B15" s="86">
        <f t="shared" ca="1" si="0"/>
        <v>7</v>
      </c>
      <c r="C15" s="134"/>
      <c r="D15" s="134">
        <f t="shared" ca="1" si="1"/>
        <v>0</v>
      </c>
      <c r="E15" s="134">
        <f t="shared" ca="1" si="2"/>
        <v>0</v>
      </c>
      <c r="F15" s="134">
        <f t="shared" ca="1" si="3"/>
        <v>0</v>
      </c>
      <c r="G15" s="134">
        <f t="shared" ca="1" si="4"/>
        <v>0</v>
      </c>
      <c r="H15" s="134">
        <f t="shared" ca="1" si="5"/>
        <v>3</v>
      </c>
      <c r="I15" s="134">
        <f t="shared" ca="1" si="6"/>
        <v>2</v>
      </c>
      <c r="J15" s="134">
        <f t="shared" ca="1" si="7"/>
        <v>2</v>
      </c>
    </row>
    <row r="16" spans="1:10">
      <c r="A16" s="65" t="s">
        <v>45</v>
      </c>
      <c r="B16" s="86">
        <f t="shared" ca="1" si="0"/>
        <v>74</v>
      </c>
      <c r="C16" s="134"/>
      <c r="D16" s="134">
        <f t="shared" ca="1" si="1"/>
        <v>0</v>
      </c>
      <c r="E16" s="134">
        <f t="shared" ca="1" si="2"/>
        <v>8</v>
      </c>
      <c r="F16" s="134">
        <f t="shared" ca="1" si="3"/>
        <v>13</v>
      </c>
      <c r="G16" s="134">
        <f t="shared" ca="1" si="4"/>
        <v>14</v>
      </c>
      <c r="H16" s="134">
        <f t="shared" ca="1" si="5"/>
        <v>17</v>
      </c>
      <c r="I16" s="134">
        <f t="shared" ca="1" si="6"/>
        <v>14</v>
      </c>
      <c r="J16" s="134">
        <f t="shared" ca="1" si="7"/>
        <v>8</v>
      </c>
    </row>
    <row r="17" spans="1:12">
      <c r="A17" s="65" t="s">
        <v>18</v>
      </c>
      <c r="B17" s="86">
        <f t="shared" ca="1" si="0"/>
        <v>12</v>
      </c>
      <c r="C17" s="134"/>
      <c r="D17" s="134">
        <f t="shared" ca="1" si="1"/>
        <v>0</v>
      </c>
      <c r="E17" s="134">
        <f t="shared" ca="1" si="2"/>
        <v>0</v>
      </c>
      <c r="F17" s="134">
        <f t="shared" ca="1" si="3"/>
        <v>0</v>
      </c>
      <c r="G17" s="134">
        <f t="shared" ca="1" si="4"/>
        <v>0</v>
      </c>
      <c r="H17" s="134">
        <f t="shared" ca="1" si="5"/>
        <v>0</v>
      </c>
      <c r="I17" s="134">
        <f t="shared" ca="1" si="6"/>
        <v>8</v>
      </c>
      <c r="J17" s="134">
        <f t="shared" ca="1" si="7"/>
        <v>4</v>
      </c>
    </row>
    <row r="18" spans="1:12">
      <c r="A18" s="65" t="s">
        <v>63</v>
      </c>
      <c r="B18" s="86">
        <f t="shared" ca="1" si="0"/>
        <v>113</v>
      </c>
      <c r="C18" s="134">
        <f ca="1">COUNTIF(INDIRECT($A18&amp;"!$h$2:$h$1000"),"4")</f>
        <v>27</v>
      </c>
      <c r="D18" s="134">
        <f t="shared" ca="1" si="1"/>
        <v>17</v>
      </c>
      <c r="E18" s="134">
        <f t="shared" ca="1" si="2"/>
        <v>16</v>
      </c>
      <c r="F18" s="134">
        <f t="shared" ca="1" si="3"/>
        <v>9</v>
      </c>
      <c r="G18" s="134">
        <f t="shared" ca="1" si="4"/>
        <v>11</v>
      </c>
      <c r="H18" s="134">
        <f t="shared" ca="1" si="5"/>
        <v>19</v>
      </c>
      <c r="I18" s="134">
        <f t="shared" ca="1" si="6"/>
        <v>3</v>
      </c>
      <c r="J18" s="134">
        <f t="shared" ca="1" si="7"/>
        <v>11</v>
      </c>
    </row>
    <row r="19" spans="1:12">
      <c r="A19" s="65" t="s">
        <v>16</v>
      </c>
      <c r="B19" s="86">
        <f t="shared" ca="1" si="0"/>
        <v>16</v>
      </c>
      <c r="C19" s="134"/>
      <c r="D19" s="134">
        <f t="shared" ca="1" si="1"/>
        <v>0</v>
      </c>
      <c r="E19" s="134">
        <f t="shared" ca="1" si="2"/>
        <v>7</v>
      </c>
      <c r="F19" s="134">
        <f t="shared" ca="1" si="3"/>
        <v>3</v>
      </c>
      <c r="G19" s="134">
        <f t="shared" ca="1" si="4"/>
        <v>6</v>
      </c>
      <c r="H19" s="134">
        <f t="shared" ca="1" si="5"/>
        <v>0</v>
      </c>
      <c r="I19" s="134">
        <f t="shared" ca="1" si="6"/>
        <v>0</v>
      </c>
      <c r="J19" s="134">
        <f t="shared" ca="1" si="7"/>
        <v>0</v>
      </c>
    </row>
    <row r="20" spans="1:12">
      <c r="A20" s="65" t="s">
        <v>11</v>
      </c>
      <c r="B20" s="86">
        <f t="shared" ca="1" si="0"/>
        <v>4</v>
      </c>
      <c r="C20" s="134"/>
      <c r="D20" s="134">
        <f t="shared" ca="1" si="1"/>
        <v>0</v>
      </c>
      <c r="E20" s="134">
        <f t="shared" ca="1" si="2"/>
        <v>0</v>
      </c>
      <c r="F20" s="134">
        <f t="shared" ca="1" si="3"/>
        <v>0</v>
      </c>
      <c r="G20" s="134">
        <f t="shared" ca="1" si="4"/>
        <v>0</v>
      </c>
      <c r="H20" s="134">
        <f t="shared" ca="1" si="5"/>
        <v>0</v>
      </c>
      <c r="I20" s="134">
        <f t="shared" ca="1" si="6"/>
        <v>2</v>
      </c>
      <c r="J20" s="134">
        <f t="shared" ca="1" si="7"/>
        <v>2</v>
      </c>
    </row>
    <row r="21" spans="1:12">
      <c r="A21" s="65" t="s">
        <v>64</v>
      </c>
      <c r="B21" s="86">
        <f t="shared" ca="1" si="0"/>
        <v>14</v>
      </c>
      <c r="C21" s="134"/>
      <c r="D21" s="134">
        <f t="shared" ca="1" si="1"/>
        <v>0</v>
      </c>
      <c r="E21" s="134">
        <f t="shared" ca="1" si="2"/>
        <v>0</v>
      </c>
      <c r="F21" s="134">
        <f t="shared" ca="1" si="3"/>
        <v>0</v>
      </c>
      <c r="G21" s="134">
        <f t="shared" ca="1" si="4"/>
        <v>0</v>
      </c>
      <c r="H21" s="134">
        <f t="shared" ca="1" si="5"/>
        <v>0</v>
      </c>
      <c r="I21" s="134">
        <f t="shared" ca="1" si="6"/>
        <v>7</v>
      </c>
      <c r="J21" s="134">
        <f t="shared" ca="1" si="7"/>
        <v>7</v>
      </c>
    </row>
    <row r="22" spans="1:12">
      <c r="A22" s="65" t="s">
        <v>66</v>
      </c>
      <c r="B22" s="86">
        <f t="shared" ca="1" si="0"/>
        <v>0</v>
      </c>
      <c r="C22" s="134"/>
      <c r="D22" s="134">
        <f t="shared" ca="1" si="1"/>
        <v>0</v>
      </c>
      <c r="E22" s="134">
        <f t="shared" ca="1" si="2"/>
        <v>0</v>
      </c>
      <c r="F22" s="134">
        <f t="shared" ca="1" si="3"/>
        <v>0</v>
      </c>
      <c r="G22" s="134">
        <f t="shared" ca="1" si="4"/>
        <v>0</v>
      </c>
      <c r="H22" s="134">
        <f t="shared" ca="1" si="5"/>
        <v>0</v>
      </c>
      <c r="I22" s="134">
        <f t="shared" ca="1" si="6"/>
        <v>0</v>
      </c>
      <c r="J22" s="134">
        <f t="shared" ca="1" si="7"/>
        <v>0</v>
      </c>
    </row>
    <row r="23" spans="1:12">
      <c r="A23" s="65" t="s">
        <v>21</v>
      </c>
      <c r="B23" s="86">
        <f t="shared" ca="1" si="0"/>
        <v>9</v>
      </c>
      <c r="C23" s="134"/>
      <c r="D23" s="134">
        <f t="shared" ca="1" si="1"/>
        <v>0</v>
      </c>
      <c r="E23" s="134">
        <f t="shared" ca="1" si="2"/>
        <v>0</v>
      </c>
      <c r="F23" s="134">
        <f t="shared" ca="1" si="3"/>
        <v>0</v>
      </c>
      <c r="G23" s="134">
        <f t="shared" ca="1" si="4"/>
        <v>1</v>
      </c>
      <c r="H23" s="134">
        <f t="shared" ca="1" si="5"/>
        <v>5</v>
      </c>
      <c r="I23" s="134">
        <f t="shared" ca="1" si="6"/>
        <v>2</v>
      </c>
      <c r="J23" s="134">
        <f t="shared" ca="1" si="7"/>
        <v>1</v>
      </c>
    </row>
    <row r="24" spans="1:12">
      <c r="A24" s="65" t="s">
        <v>17</v>
      </c>
      <c r="B24" s="86">
        <f t="shared" ca="1" si="0"/>
        <v>2</v>
      </c>
      <c r="C24" s="134"/>
      <c r="D24" s="134">
        <f t="shared" ca="1" si="1"/>
        <v>0</v>
      </c>
      <c r="E24" s="134">
        <f t="shared" ca="1" si="2"/>
        <v>0</v>
      </c>
      <c r="F24" s="134">
        <f t="shared" ca="1" si="3"/>
        <v>0</v>
      </c>
      <c r="G24" s="134">
        <f t="shared" ca="1" si="4"/>
        <v>0</v>
      </c>
      <c r="H24" s="134">
        <f t="shared" ca="1" si="5"/>
        <v>0</v>
      </c>
      <c r="I24" s="134">
        <f t="shared" ca="1" si="6"/>
        <v>0</v>
      </c>
      <c r="J24" s="134">
        <f t="shared" ca="1" si="7"/>
        <v>2</v>
      </c>
    </row>
    <row r="25" spans="1:12">
      <c r="A25" s="65" t="s">
        <v>23</v>
      </c>
      <c r="B25" s="86">
        <f t="shared" ca="1" si="0"/>
        <v>3</v>
      </c>
      <c r="C25" s="134"/>
      <c r="D25" s="134">
        <f t="shared" ca="1" si="1"/>
        <v>0</v>
      </c>
      <c r="E25" s="134">
        <f t="shared" ca="1" si="2"/>
        <v>0</v>
      </c>
      <c r="F25" s="134">
        <f t="shared" ca="1" si="3"/>
        <v>0</v>
      </c>
      <c r="G25" s="134">
        <f t="shared" ca="1" si="4"/>
        <v>0</v>
      </c>
      <c r="H25" s="134">
        <f t="shared" ca="1" si="5"/>
        <v>0</v>
      </c>
      <c r="I25" s="134">
        <f t="shared" ca="1" si="6"/>
        <v>1</v>
      </c>
      <c r="J25" s="134">
        <f t="shared" ca="1" si="7"/>
        <v>2</v>
      </c>
    </row>
    <row r="26" spans="1:12" ht="14.25">
      <c r="A26" s="69" t="s">
        <v>61</v>
      </c>
      <c r="B26" s="90">
        <f ca="1">SUM(B2:B25)</f>
        <v>572</v>
      </c>
      <c r="C26" s="90">
        <f t="shared" ref="C26:J26" ca="1" si="8">SUM(C2:C25)</f>
        <v>52</v>
      </c>
      <c r="D26" s="90">
        <f t="shared" ca="1" si="8"/>
        <v>47</v>
      </c>
      <c r="E26" s="90">
        <f t="shared" ca="1" si="8"/>
        <v>63</v>
      </c>
      <c r="F26" s="90">
        <f t="shared" ca="1" si="8"/>
        <v>58</v>
      </c>
      <c r="G26" s="90">
        <f t="shared" ca="1" si="8"/>
        <v>93</v>
      </c>
      <c r="H26" s="90">
        <f t="shared" ca="1" si="8"/>
        <v>114</v>
      </c>
      <c r="I26" s="90">
        <f t="shared" ca="1" si="8"/>
        <v>68</v>
      </c>
      <c r="J26" s="91">
        <f t="shared" ca="1" si="8"/>
        <v>77</v>
      </c>
      <c r="K26" s="67"/>
      <c r="L26" s="68"/>
    </row>
    <row r="29" spans="1:12" ht="15">
      <c r="A29" s="148" t="s">
        <v>111</v>
      </c>
      <c r="B29" s="148"/>
      <c r="C29" s="150">
        <f ca="1">B26/Отчет!H9</f>
        <v>1.1063829787234043</v>
      </c>
      <c r="D29" s="143"/>
      <c r="E29" s="168" t="s">
        <v>114</v>
      </c>
      <c r="F29" s="143"/>
      <c r="G29" s="144"/>
    </row>
    <row r="30" spans="1:12">
      <c r="A30" s="268" t="s">
        <v>108</v>
      </c>
      <c r="B30" s="149" t="s">
        <v>93</v>
      </c>
      <c r="C30" s="150">
        <f ca="1">C26/Отчет!Q9</f>
        <v>0.62650602409638556</v>
      </c>
      <c r="D30" s="145"/>
      <c r="E30" s="145"/>
      <c r="F30" s="145"/>
      <c r="G30" s="146"/>
    </row>
    <row r="31" spans="1:12">
      <c r="A31" s="268"/>
      <c r="B31" s="149" t="s">
        <v>30</v>
      </c>
      <c r="C31" s="151">
        <f ca="1">D26/Отчет!Y9</f>
        <v>0.60256410256410253</v>
      </c>
      <c r="D31" s="147"/>
      <c r="E31" s="147" t="s">
        <v>113</v>
      </c>
      <c r="F31" s="147"/>
      <c r="G31" s="146"/>
    </row>
    <row r="32" spans="1:12">
      <c r="A32" s="268"/>
      <c r="B32" s="149" t="s">
        <v>31</v>
      </c>
      <c r="C32" s="151">
        <f ca="1">E26/Отчет!AG9</f>
        <v>0.72413793103448276</v>
      </c>
      <c r="D32" s="147"/>
      <c r="E32" s="147"/>
      <c r="F32" s="147"/>
      <c r="G32" s="146"/>
    </row>
    <row r="33" spans="1:7">
      <c r="A33" s="268"/>
      <c r="B33" s="149" t="s">
        <v>32</v>
      </c>
      <c r="C33" s="151">
        <f ca="1">F26/Отчет!AO9</f>
        <v>0.76315789473684215</v>
      </c>
      <c r="D33" s="147"/>
      <c r="E33" s="147"/>
      <c r="F33" s="147"/>
      <c r="G33" s="146"/>
    </row>
    <row r="34" spans="1:7">
      <c r="A34" s="268"/>
      <c r="B34" s="149" t="s">
        <v>33</v>
      </c>
      <c r="C34" s="151">
        <f ca="1">G26/Отчет!AW9</f>
        <v>1.24</v>
      </c>
      <c r="D34" s="147"/>
      <c r="E34" s="147"/>
      <c r="F34" s="147"/>
      <c r="G34" s="146"/>
    </row>
    <row r="35" spans="1:7">
      <c r="A35" s="268"/>
      <c r="B35" s="149" t="s">
        <v>34</v>
      </c>
      <c r="C35" s="151">
        <f ca="1">H26/Отчет!BE9</f>
        <v>1.6764705882352942</v>
      </c>
      <c r="D35" s="147"/>
      <c r="E35" s="147"/>
      <c r="F35" s="147"/>
      <c r="G35" s="146"/>
    </row>
    <row r="36" spans="1:7">
      <c r="A36" s="268"/>
      <c r="B36" s="149" t="s">
        <v>35</v>
      </c>
      <c r="C36" s="150">
        <f ca="1">I26/Отчет!BM9</f>
        <v>2.72</v>
      </c>
      <c r="D36" s="145"/>
      <c r="E36" s="145"/>
      <c r="F36" s="145"/>
      <c r="G36" s="146"/>
    </row>
    <row r="37" spans="1:7">
      <c r="A37" s="268"/>
      <c r="B37" s="149" t="s">
        <v>36</v>
      </c>
      <c r="C37" s="150">
        <f ca="1">J26/Отчет!BU9</f>
        <v>3.08</v>
      </c>
      <c r="D37" s="145"/>
      <c r="E37" s="145"/>
      <c r="F37" s="145"/>
      <c r="G37" s="146"/>
    </row>
    <row r="38" spans="1:7" ht="30.75" customHeight="1">
      <c r="A38" s="269" t="s">
        <v>112</v>
      </c>
      <c r="B38" s="270"/>
      <c r="C38" s="150">
        <f ca="1">(Отчет!G38+Отчет!H38)/B26</f>
        <v>0.12412587412587413</v>
      </c>
      <c r="D38" s="143"/>
      <c r="E38" s="143"/>
      <c r="F38" s="143"/>
      <c r="G38" s="144"/>
    </row>
    <row r="39" spans="1:7">
      <c r="A39" s="268" t="s">
        <v>108</v>
      </c>
      <c r="B39" s="149" t="s">
        <v>93</v>
      </c>
      <c r="C39" s="150">
        <f ca="1">(Отчет!O38+Отчет!P38)/C26</f>
        <v>3.8461538461538464E-2</v>
      </c>
      <c r="D39" s="145"/>
      <c r="E39" s="145"/>
      <c r="F39" s="145"/>
      <c r="G39" s="146"/>
    </row>
    <row r="40" spans="1:7">
      <c r="A40" s="268"/>
      <c r="B40" s="149" t="s">
        <v>30</v>
      </c>
      <c r="C40" s="150">
        <f ca="1">(Отчет!W38+Отчет!X38)/D26</f>
        <v>0.19148936170212766</v>
      </c>
      <c r="D40" s="145"/>
      <c r="E40" s="145"/>
      <c r="F40" s="145"/>
      <c r="G40" s="146"/>
    </row>
    <row r="41" spans="1:7">
      <c r="A41" s="268"/>
      <c r="B41" s="149" t="s">
        <v>31</v>
      </c>
      <c r="C41" s="150">
        <f ca="1">(Отчет!AE38+Отчет!AF38)/E26</f>
        <v>0.14285714285714285</v>
      </c>
      <c r="D41" s="145"/>
      <c r="E41" s="145"/>
      <c r="F41" s="145"/>
      <c r="G41" s="146"/>
    </row>
    <row r="42" spans="1:7">
      <c r="A42" s="268"/>
      <c r="B42" s="149" t="s">
        <v>32</v>
      </c>
      <c r="C42" s="150">
        <f ca="1">(Отчет!AM38+Отчет!AN38)/F26</f>
        <v>0.1206896551724138</v>
      </c>
      <c r="D42" s="145"/>
      <c r="E42" s="145"/>
      <c r="F42" s="145"/>
      <c r="G42" s="146"/>
    </row>
    <row r="43" spans="1:7">
      <c r="A43" s="268"/>
      <c r="B43" s="149" t="s">
        <v>33</v>
      </c>
      <c r="C43" s="150">
        <f ca="1">(Отчет!AU38+Отчет!AV38)/G26</f>
        <v>9.6774193548387094E-2</v>
      </c>
      <c r="D43" s="145"/>
      <c r="E43" s="145"/>
      <c r="F43" s="145"/>
      <c r="G43" s="146"/>
    </row>
    <row r="44" spans="1:7">
      <c r="A44" s="268"/>
      <c r="B44" s="149" t="s">
        <v>34</v>
      </c>
      <c r="C44" s="150">
        <f ca="1">(Отчет!BC38+Отчет!BD38)/H26</f>
        <v>0.11403508771929824</v>
      </c>
      <c r="D44" s="145"/>
      <c r="E44" s="145"/>
      <c r="F44" s="145"/>
      <c r="G44" s="146"/>
    </row>
    <row r="45" spans="1:7">
      <c r="A45" s="268"/>
      <c r="B45" s="149" t="s">
        <v>35</v>
      </c>
      <c r="C45" s="150">
        <f ca="1">(Отчет!BK38+Отчет!BL38)/I26</f>
        <v>0.13235294117647059</v>
      </c>
      <c r="D45" s="145"/>
      <c r="E45" s="145"/>
      <c r="F45" s="145"/>
      <c r="G45" s="146"/>
    </row>
    <row r="46" spans="1:7">
      <c r="A46" s="268"/>
      <c r="B46" s="149" t="s">
        <v>36</v>
      </c>
      <c r="C46" s="150">
        <f ca="1">(Отчет!BS38+Отчет!BT38)/J26</f>
        <v>0.16883116883116883</v>
      </c>
      <c r="D46" s="145"/>
      <c r="E46" s="145"/>
      <c r="F46" s="145"/>
      <c r="G46" s="146"/>
    </row>
  </sheetData>
  <sheetProtection password="DE6B" sheet="1" formatCells="0" formatColumns="0" formatRows="0" sort="0"/>
  <protectedRanges>
    <protectedRange password="E4D7" sqref="A29:G46" name="Диапазон1"/>
  </protectedRanges>
  <mergeCells count="3">
    <mergeCell ref="A30:A37"/>
    <mergeCell ref="A39:A46"/>
    <mergeCell ref="A38:B38"/>
  </mergeCells>
  <conditionalFormatting sqref="G38:G46">
    <cfRule type="cellIs" dxfId="6" priority="1" stopIfTrue="1" operator="greaterThan">
      <formula>0.3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5"/>
  <dimension ref="A1:Q52"/>
  <sheetViews>
    <sheetView workbookViewId="0">
      <selection activeCell="D10" sqref="D10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58" customWidth="1"/>
    <col min="10" max="10" width="18.28515625" style="58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0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44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315</v>
      </c>
      <c r="C2" s="40" t="s">
        <v>314</v>
      </c>
      <c r="D2" s="40" t="s">
        <v>313</v>
      </c>
      <c r="E2" s="244" t="s">
        <v>100</v>
      </c>
      <c r="F2" s="40" t="s">
        <v>154</v>
      </c>
      <c r="G2" s="185">
        <v>8</v>
      </c>
      <c r="H2" s="56">
        <v>8</v>
      </c>
      <c r="I2" s="40"/>
      <c r="J2" s="40" t="s">
        <v>127</v>
      </c>
      <c r="K2" s="240">
        <v>62</v>
      </c>
      <c r="L2" s="56">
        <v>160</v>
      </c>
      <c r="M2" s="4">
        <f t="shared" ref="M2:M20" si="0">K2/L2</f>
        <v>0.38750000000000001</v>
      </c>
      <c r="N2" s="40" t="s">
        <v>58</v>
      </c>
      <c r="O2" s="40" t="s">
        <v>76</v>
      </c>
      <c r="P2" s="22" t="s">
        <v>55</v>
      </c>
      <c r="Q2" s="142"/>
    </row>
    <row r="3" spans="1:17">
      <c r="A3" s="43">
        <v>2</v>
      </c>
      <c r="B3" s="40" t="s">
        <v>460</v>
      </c>
      <c r="C3" s="40" t="s">
        <v>263</v>
      </c>
      <c r="D3" s="40" t="s">
        <v>235</v>
      </c>
      <c r="E3" s="244" t="s">
        <v>100</v>
      </c>
      <c r="F3" s="40" t="s">
        <v>154</v>
      </c>
      <c r="G3" s="185">
        <v>8</v>
      </c>
      <c r="H3" s="56">
        <v>8</v>
      </c>
      <c r="I3" s="40"/>
      <c r="J3" s="40" t="s">
        <v>127</v>
      </c>
      <c r="K3" s="240">
        <v>54</v>
      </c>
      <c r="L3" s="56">
        <v>160</v>
      </c>
      <c r="M3" s="4">
        <f t="shared" si="0"/>
        <v>0.33750000000000002</v>
      </c>
      <c r="N3" s="40" t="s">
        <v>58</v>
      </c>
      <c r="O3" s="40" t="s">
        <v>76</v>
      </c>
      <c r="P3" s="22" t="s">
        <v>55</v>
      </c>
      <c r="Q3" s="142"/>
    </row>
    <row r="4" spans="1:17">
      <c r="A4" s="43">
        <v>3</v>
      </c>
      <c r="B4" s="22" t="s">
        <v>461</v>
      </c>
      <c r="C4" s="40" t="s">
        <v>289</v>
      </c>
      <c r="D4" s="40" t="s">
        <v>233</v>
      </c>
      <c r="E4" s="244" t="s">
        <v>100</v>
      </c>
      <c r="F4" s="40" t="s">
        <v>154</v>
      </c>
      <c r="G4" s="185">
        <v>8</v>
      </c>
      <c r="H4" s="56">
        <v>8</v>
      </c>
      <c r="I4" s="40"/>
      <c r="J4" s="40" t="s">
        <v>127</v>
      </c>
      <c r="K4" s="240">
        <v>52</v>
      </c>
      <c r="L4" s="56">
        <v>160</v>
      </c>
      <c r="M4" s="4">
        <f t="shared" si="0"/>
        <v>0.32500000000000001</v>
      </c>
      <c r="N4" s="40" t="s">
        <v>58</v>
      </c>
      <c r="O4" s="40" t="s">
        <v>76</v>
      </c>
      <c r="P4" s="22" t="s">
        <v>55</v>
      </c>
      <c r="Q4" s="142"/>
    </row>
    <row r="5" spans="1:17">
      <c r="A5" s="43">
        <v>4</v>
      </c>
      <c r="B5" s="22" t="s">
        <v>247</v>
      </c>
      <c r="C5" s="40" t="s">
        <v>314</v>
      </c>
      <c r="D5" s="40" t="s">
        <v>198</v>
      </c>
      <c r="E5" s="244" t="s">
        <v>100</v>
      </c>
      <c r="F5" s="40" t="s">
        <v>154</v>
      </c>
      <c r="G5" s="185">
        <v>9</v>
      </c>
      <c r="H5" s="56">
        <v>9</v>
      </c>
      <c r="I5" s="40"/>
      <c r="J5" s="40" t="s">
        <v>127</v>
      </c>
      <c r="K5" s="240">
        <v>71</v>
      </c>
      <c r="L5" s="56">
        <v>170</v>
      </c>
      <c r="M5" s="4">
        <f t="shared" si="0"/>
        <v>0.41764705882352943</v>
      </c>
      <c r="N5" s="40" t="s">
        <v>58</v>
      </c>
      <c r="O5" s="40" t="s">
        <v>76</v>
      </c>
      <c r="P5" s="22" t="s">
        <v>55</v>
      </c>
      <c r="Q5" s="142"/>
    </row>
    <row r="6" spans="1:17">
      <c r="A6" s="43">
        <v>5</v>
      </c>
      <c r="B6" s="22" t="s">
        <v>234</v>
      </c>
      <c r="C6" s="40" t="s">
        <v>225</v>
      </c>
      <c r="D6" s="40" t="s">
        <v>235</v>
      </c>
      <c r="E6" s="244" t="s">
        <v>100</v>
      </c>
      <c r="F6" s="40" t="s">
        <v>154</v>
      </c>
      <c r="G6" s="185">
        <v>9</v>
      </c>
      <c r="H6" s="56">
        <v>9</v>
      </c>
      <c r="I6" s="40"/>
      <c r="J6" s="40" t="s">
        <v>127</v>
      </c>
      <c r="K6" s="240">
        <v>67</v>
      </c>
      <c r="L6" s="56">
        <v>170</v>
      </c>
      <c r="M6" s="4">
        <f t="shared" si="0"/>
        <v>0.39411764705882352</v>
      </c>
      <c r="N6" s="40" t="s">
        <v>58</v>
      </c>
      <c r="O6" s="40" t="s">
        <v>76</v>
      </c>
      <c r="P6" s="22" t="s">
        <v>55</v>
      </c>
      <c r="Q6" s="142"/>
    </row>
    <row r="7" spans="1:17">
      <c r="A7" s="43">
        <v>6</v>
      </c>
      <c r="B7" s="22" t="s">
        <v>236</v>
      </c>
      <c r="C7" s="40" t="s">
        <v>237</v>
      </c>
      <c r="D7" s="40" t="s">
        <v>233</v>
      </c>
      <c r="E7" s="244" t="s">
        <v>100</v>
      </c>
      <c r="F7" s="40" t="s">
        <v>154</v>
      </c>
      <c r="G7" s="185">
        <v>9</v>
      </c>
      <c r="H7" s="56">
        <v>9</v>
      </c>
      <c r="I7" s="40"/>
      <c r="J7" s="40" t="s">
        <v>127</v>
      </c>
      <c r="K7" s="240">
        <v>53</v>
      </c>
      <c r="L7" s="56">
        <v>170</v>
      </c>
      <c r="M7" s="4">
        <f t="shared" si="0"/>
        <v>0.31176470588235294</v>
      </c>
      <c r="N7" s="40" t="s">
        <v>58</v>
      </c>
      <c r="O7" s="40" t="s">
        <v>76</v>
      </c>
      <c r="P7" s="22" t="s">
        <v>55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55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55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55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55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55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55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55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55</v>
      </c>
      <c r="Q15" s="142"/>
    </row>
    <row r="16" spans="1:17">
      <c r="A16" s="22"/>
      <c r="B16" s="22"/>
      <c r="C16" s="22"/>
      <c r="D16" s="22"/>
      <c r="E16" s="178"/>
      <c r="F16" s="40"/>
      <c r="G16" s="50"/>
      <c r="H16" s="3"/>
      <c r="I16" s="12"/>
      <c r="J16" s="40"/>
      <c r="K16" s="5"/>
      <c r="L16" s="23"/>
      <c r="M16" s="4" t="e">
        <f t="shared" si="0"/>
        <v>#DIV/0!</v>
      </c>
      <c r="N16" s="38"/>
      <c r="O16" s="40" t="s">
        <v>76</v>
      </c>
      <c r="P16" s="22" t="s">
        <v>55</v>
      </c>
      <c r="Q16" s="142"/>
    </row>
    <row r="17" spans="1:17">
      <c r="A17" s="22"/>
      <c r="B17" s="22"/>
      <c r="C17" s="22"/>
      <c r="D17" s="22"/>
      <c r="E17" s="178"/>
      <c r="F17" s="40"/>
      <c r="G17" s="50"/>
      <c r="H17" s="3"/>
      <c r="I17" s="12"/>
      <c r="J17" s="40"/>
      <c r="K17" s="5"/>
      <c r="L17" s="23"/>
      <c r="M17" s="4" t="e">
        <f t="shared" si="0"/>
        <v>#DIV/0!</v>
      </c>
      <c r="N17" s="38"/>
      <c r="O17" s="40" t="s">
        <v>76</v>
      </c>
      <c r="P17" s="22" t="s">
        <v>55</v>
      </c>
      <c r="Q17" s="142"/>
    </row>
    <row r="18" spans="1:17">
      <c r="A18" s="22"/>
      <c r="B18" s="22"/>
      <c r="C18" s="22"/>
      <c r="D18" s="22"/>
      <c r="E18" s="178"/>
      <c r="F18" s="40"/>
      <c r="G18" s="50"/>
      <c r="H18" s="3"/>
      <c r="I18" s="12"/>
      <c r="J18" s="40"/>
      <c r="K18" s="5"/>
      <c r="L18" s="23"/>
      <c r="M18" s="4" t="e">
        <f t="shared" si="0"/>
        <v>#DIV/0!</v>
      </c>
      <c r="N18" s="38"/>
      <c r="O18" s="40" t="s">
        <v>76</v>
      </c>
      <c r="P18" s="22" t="s">
        <v>55</v>
      </c>
      <c r="Q18" s="142"/>
    </row>
    <row r="19" spans="1:17">
      <c r="A19" s="108"/>
      <c r="B19" s="108"/>
      <c r="C19" s="108"/>
      <c r="D19" s="108"/>
      <c r="E19" s="179"/>
      <c r="F19" s="40"/>
      <c r="G19" s="189"/>
      <c r="H19" s="109"/>
      <c r="I19" s="119"/>
      <c r="J19" s="103"/>
      <c r="K19" s="111"/>
      <c r="L19" s="110"/>
      <c r="M19" s="4" t="e">
        <f t="shared" si="0"/>
        <v>#DIV/0!</v>
      </c>
      <c r="N19" s="113"/>
      <c r="O19" s="40" t="s">
        <v>76</v>
      </c>
      <c r="P19" s="108" t="s">
        <v>55</v>
      </c>
      <c r="Q19" s="142"/>
    </row>
    <row r="20" spans="1:17">
      <c r="A20" s="22"/>
      <c r="B20" s="22"/>
      <c r="C20" s="22"/>
      <c r="D20" s="22"/>
      <c r="E20" s="178"/>
      <c r="F20" s="40"/>
      <c r="G20" s="50"/>
      <c r="H20" s="3"/>
      <c r="I20" s="215"/>
      <c r="J20" s="40"/>
      <c r="K20" s="171"/>
      <c r="L20" s="23"/>
      <c r="M20" s="4" t="e">
        <f t="shared" si="0"/>
        <v>#DIV/0!</v>
      </c>
      <c r="N20" s="3"/>
      <c r="O20" s="40" t="s">
        <v>76</v>
      </c>
      <c r="P20" s="22" t="s">
        <v>55</v>
      </c>
      <c r="Q20" s="142"/>
    </row>
    <row r="21" spans="1:17">
      <c r="A21" s="26"/>
      <c r="B21" s="26"/>
      <c r="C21" s="26"/>
      <c r="D21" s="26"/>
      <c r="E21" s="73"/>
      <c r="F21" s="76"/>
      <c r="G21" s="72"/>
      <c r="H21" s="72"/>
      <c r="I21" s="78"/>
      <c r="J21" s="76"/>
      <c r="K21" s="52"/>
      <c r="L21" s="53"/>
      <c r="M21" s="74"/>
      <c r="N21" s="72"/>
      <c r="O21" s="172"/>
      <c r="P21" s="26"/>
    </row>
    <row r="22" spans="1:17">
      <c r="A22" s="26"/>
      <c r="B22" s="26"/>
      <c r="C22" s="26"/>
      <c r="D22" s="26"/>
      <c r="E22" s="73"/>
      <c r="F22" s="76"/>
      <c r="G22" s="72"/>
      <c r="H22" s="72"/>
      <c r="I22" s="78"/>
      <c r="J22" s="76"/>
      <c r="K22" s="52"/>
      <c r="L22" s="53"/>
      <c r="M22" s="74"/>
      <c r="N22" s="72"/>
      <c r="O22" s="172"/>
      <c r="P22" s="26"/>
    </row>
    <row r="23" spans="1:17">
      <c r="A23" s="26"/>
      <c r="B23" s="26"/>
      <c r="C23" s="26"/>
      <c r="D23" s="26"/>
      <c r="E23" s="73"/>
      <c r="F23" s="76"/>
      <c r="G23" s="72"/>
      <c r="H23" s="72"/>
      <c r="I23" s="78"/>
      <c r="J23" s="76"/>
      <c r="K23" s="52"/>
      <c r="L23" s="53"/>
      <c r="M23" s="74"/>
      <c r="N23" s="72"/>
      <c r="O23" s="172"/>
      <c r="P23" s="26"/>
    </row>
    <row r="24" spans="1:17">
      <c r="A24" s="26"/>
      <c r="B24" s="26"/>
      <c r="C24" s="26"/>
      <c r="D24" s="26"/>
      <c r="E24" s="73"/>
      <c r="F24" s="76"/>
      <c r="G24" s="72"/>
      <c r="H24" s="72"/>
      <c r="I24" s="78"/>
      <c r="J24" s="76"/>
      <c r="K24" s="52"/>
      <c r="L24" s="53"/>
      <c r="M24" s="74"/>
      <c r="N24" s="72"/>
      <c r="O24" s="172"/>
      <c r="P24" s="26"/>
    </row>
    <row r="25" spans="1:17">
      <c r="A25" s="26"/>
      <c r="B25" s="26"/>
      <c r="C25" s="26"/>
      <c r="D25" s="26"/>
      <c r="E25" s="73"/>
      <c r="F25" s="76"/>
      <c r="G25" s="72"/>
      <c r="H25" s="72"/>
      <c r="I25" s="78"/>
      <c r="J25" s="76"/>
      <c r="K25" s="52"/>
      <c r="L25" s="53"/>
      <c r="M25" s="74"/>
      <c r="N25" s="72"/>
      <c r="O25" s="172"/>
      <c r="P25" s="26"/>
    </row>
    <row r="26" spans="1:17">
      <c r="A26" s="26"/>
      <c r="B26" s="26"/>
      <c r="C26" s="26"/>
      <c r="D26" s="26"/>
      <c r="E26" s="73"/>
      <c r="F26" s="76"/>
      <c r="G26" s="72"/>
      <c r="H26" s="72"/>
      <c r="I26" s="78"/>
      <c r="J26" s="76"/>
      <c r="K26" s="52"/>
      <c r="L26" s="53"/>
      <c r="M26" s="74"/>
      <c r="N26" s="72"/>
      <c r="O26" s="172"/>
      <c r="P26" s="26"/>
    </row>
    <row r="27" spans="1:17">
      <c r="A27" s="26"/>
      <c r="B27" s="26"/>
      <c r="C27" s="26"/>
      <c r="D27" s="26"/>
      <c r="E27" s="73"/>
      <c r="F27" s="76"/>
      <c r="G27" s="72"/>
      <c r="H27" s="72"/>
      <c r="I27" s="78"/>
      <c r="J27" s="76"/>
      <c r="K27" s="52"/>
      <c r="L27" s="53"/>
      <c r="M27" s="74"/>
      <c r="N27" s="72"/>
      <c r="O27" s="172"/>
      <c r="P27" s="26"/>
    </row>
    <row r="28" spans="1:17">
      <c r="A28" s="26"/>
      <c r="B28" s="26"/>
      <c r="C28" s="26"/>
      <c r="D28" s="26"/>
      <c r="E28" s="73"/>
      <c r="F28" s="76"/>
      <c r="G28" s="72"/>
      <c r="H28" s="72"/>
      <c r="I28" s="78"/>
      <c r="J28" s="76"/>
      <c r="K28" s="52"/>
      <c r="L28" s="53"/>
      <c r="M28" s="74"/>
      <c r="N28" s="72"/>
      <c r="O28" s="172"/>
      <c r="P28" s="26"/>
    </row>
    <row r="29" spans="1:17">
      <c r="A29" s="26"/>
      <c r="B29" s="26"/>
      <c r="C29" s="26"/>
      <c r="D29" s="26"/>
      <c r="E29" s="73"/>
      <c r="F29" s="76"/>
      <c r="G29" s="72"/>
      <c r="H29" s="72"/>
      <c r="I29" s="78"/>
      <c r="J29" s="76"/>
      <c r="K29" s="52"/>
      <c r="L29" s="53"/>
      <c r="M29" s="74"/>
      <c r="N29" s="72"/>
      <c r="O29" s="172"/>
      <c r="P29" s="26"/>
    </row>
    <row r="30" spans="1:17">
      <c r="A30" s="26"/>
      <c r="B30" s="26"/>
      <c r="C30" s="26"/>
      <c r="D30" s="26"/>
      <c r="E30" s="73"/>
      <c r="F30" s="76"/>
      <c r="G30" s="72"/>
      <c r="H30" s="72"/>
      <c r="I30" s="78"/>
      <c r="J30" s="76"/>
      <c r="K30" s="52"/>
      <c r="L30" s="53"/>
      <c r="M30" s="74"/>
      <c r="N30" s="72"/>
      <c r="O30" s="172"/>
      <c r="P30" s="26"/>
    </row>
    <row r="31" spans="1:17">
      <c r="A31" s="26"/>
      <c r="B31" s="26"/>
      <c r="C31" s="26"/>
      <c r="D31" s="26"/>
      <c r="E31" s="73"/>
      <c r="F31" s="76"/>
      <c r="G31" s="72"/>
      <c r="H31" s="72"/>
      <c r="I31" s="78"/>
      <c r="J31" s="76"/>
      <c r="K31" s="52"/>
      <c r="L31" s="53"/>
      <c r="M31" s="74"/>
      <c r="N31" s="72"/>
      <c r="O31" s="172"/>
      <c r="P31" s="26"/>
    </row>
    <row r="32" spans="1:17">
      <c r="A32" s="26"/>
      <c r="B32" s="26"/>
      <c r="C32" s="26"/>
      <c r="D32" s="26"/>
      <c r="E32" s="73"/>
      <c r="F32" s="76"/>
      <c r="G32" s="72"/>
      <c r="H32" s="72"/>
      <c r="I32" s="78"/>
      <c r="J32" s="76"/>
      <c r="K32" s="52"/>
      <c r="L32" s="53"/>
      <c r="M32" s="74"/>
      <c r="N32" s="72"/>
      <c r="O32" s="172"/>
      <c r="P32" s="26"/>
    </row>
    <row r="33" spans="1:16">
      <c r="A33" s="26"/>
      <c r="B33" s="26"/>
      <c r="C33" s="26"/>
      <c r="D33" s="26"/>
      <c r="E33" s="73"/>
      <c r="F33" s="76"/>
      <c r="G33" s="72"/>
      <c r="H33" s="72"/>
      <c r="I33" s="78"/>
      <c r="J33" s="76"/>
      <c r="K33" s="52"/>
      <c r="L33" s="53"/>
      <c r="M33" s="74"/>
      <c r="N33" s="72"/>
      <c r="O33" s="172"/>
      <c r="P33" s="26"/>
    </row>
    <row r="34" spans="1:16">
      <c r="C34" s="26"/>
      <c r="D34" s="26"/>
      <c r="E34" s="73"/>
      <c r="F34" s="76"/>
      <c r="G34" s="72"/>
      <c r="H34" s="72"/>
      <c r="I34" s="78"/>
      <c r="J34" s="76"/>
      <c r="K34" s="52"/>
      <c r="L34" s="53"/>
      <c r="M34" s="74"/>
      <c r="N34" s="72"/>
      <c r="O34" s="172"/>
      <c r="P34" s="26"/>
    </row>
    <row r="35" spans="1:16">
      <c r="C35" s="26"/>
      <c r="D35" s="26"/>
      <c r="E35" s="73"/>
      <c r="F35" s="76"/>
      <c r="G35" s="72"/>
      <c r="H35" s="72"/>
      <c r="I35" s="78"/>
      <c r="J35" s="76"/>
      <c r="K35" s="52"/>
      <c r="L35" s="53"/>
      <c r="M35" s="74"/>
      <c r="N35" s="72"/>
      <c r="O35" s="172"/>
      <c r="P35" s="26"/>
    </row>
    <row r="36" spans="1:16">
      <c r="C36" s="26"/>
      <c r="D36" s="26"/>
      <c r="E36" s="73"/>
      <c r="F36" s="76"/>
      <c r="G36" s="72"/>
      <c r="H36" s="72"/>
      <c r="I36" s="78"/>
      <c r="J36" s="76"/>
      <c r="K36" s="52"/>
      <c r="L36" s="53"/>
      <c r="M36" s="74"/>
      <c r="N36" s="72"/>
      <c r="O36" s="172"/>
      <c r="P36" s="26"/>
    </row>
    <row r="37" spans="1:16">
      <c r="C37" s="26"/>
      <c r="D37" s="26"/>
      <c r="E37" s="73"/>
      <c r="F37" s="76"/>
      <c r="G37" s="72"/>
      <c r="H37" s="72"/>
      <c r="I37" s="78"/>
      <c r="J37" s="76"/>
      <c r="K37" s="52"/>
      <c r="L37" s="53"/>
      <c r="M37" s="74"/>
      <c r="N37" s="72"/>
      <c r="O37" s="172"/>
      <c r="P37" s="26"/>
    </row>
    <row r="38" spans="1:16">
      <c r="C38" s="26"/>
      <c r="D38" s="26"/>
      <c r="E38" s="73"/>
      <c r="F38" s="76"/>
      <c r="G38" s="72"/>
      <c r="H38" s="72"/>
      <c r="I38" s="78"/>
      <c r="J38" s="76"/>
      <c r="K38" s="52"/>
      <c r="L38" s="53"/>
      <c r="M38" s="74"/>
      <c r="N38" s="72"/>
      <c r="O38" s="172"/>
      <c r="P38" s="26"/>
    </row>
    <row r="39" spans="1:16">
      <c r="C39" s="26"/>
      <c r="D39" s="26"/>
      <c r="E39" s="73"/>
      <c r="F39" s="76"/>
      <c r="G39" s="72"/>
      <c r="H39" s="72"/>
      <c r="I39" s="78"/>
      <c r="J39" s="76"/>
      <c r="K39" s="52"/>
      <c r="L39" s="53"/>
      <c r="M39" s="74"/>
      <c r="N39" s="72"/>
      <c r="O39" s="172"/>
      <c r="P39" s="26"/>
    </row>
    <row r="40" spans="1:16">
      <c r="C40" s="26"/>
      <c r="D40" s="26"/>
      <c r="E40" s="73"/>
      <c r="F40" s="76"/>
      <c r="G40" s="72"/>
      <c r="H40" s="72"/>
      <c r="I40" s="78"/>
      <c r="J40" s="76"/>
      <c r="K40" s="52"/>
      <c r="L40" s="53"/>
      <c r="M40" s="74"/>
      <c r="N40" s="72"/>
      <c r="O40" s="172"/>
      <c r="P40" s="26"/>
    </row>
    <row r="41" spans="1:16">
      <c r="C41" s="26"/>
      <c r="D41" s="26"/>
      <c r="E41" s="73"/>
      <c r="F41" s="76"/>
      <c r="G41" s="72"/>
      <c r="H41" s="72"/>
      <c r="I41" s="78"/>
      <c r="J41" s="76"/>
      <c r="K41" s="52"/>
      <c r="L41" s="53"/>
      <c r="M41" s="74"/>
      <c r="N41" s="72"/>
      <c r="O41" s="172"/>
      <c r="P41" s="26"/>
    </row>
    <row r="42" spans="1:16">
      <c r="C42" s="26"/>
      <c r="D42" s="26"/>
      <c r="E42" s="73"/>
      <c r="F42" s="76"/>
      <c r="G42" s="72"/>
      <c r="H42" s="72"/>
      <c r="I42" s="78"/>
      <c r="J42" s="76"/>
      <c r="K42" s="52"/>
      <c r="L42" s="53"/>
      <c r="M42" s="74"/>
      <c r="N42" s="72"/>
      <c r="O42" s="172"/>
      <c r="P42" s="26"/>
    </row>
    <row r="43" spans="1:16">
      <c r="C43" s="26"/>
      <c r="D43" s="26"/>
      <c r="E43" s="73"/>
      <c r="F43" s="76"/>
      <c r="G43" s="72"/>
      <c r="H43" s="72"/>
      <c r="I43" s="78"/>
      <c r="J43" s="76"/>
      <c r="K43" s="52"/>
      <c r="L43" s="53"/>
      <c r="M43" s="74"/>
      <c r="N43" s="72"/>
      <c r="O43" s="172"/>
      <c r="P43" s="26"/>
    </row>
    <row r="44" spans="1:16">
      <c r="C44" s="26"/>
      <c r="D44" s="26"/>
      <c r="E44" s="73"/>
      <c r="F44" s="76"/>
      <c r="G44" s="72"/>
      <c r="H44" s="72"/>
      <c r="I44" s="78"/>
      <c r="J44" s="76"/>
      <c r="K44" s="52"/>
      <c r="L44" s="53"/>
      <c r="M44" s="74"/>
      <c r="N44" s="72"/>
      <c r="O44" s="172"/>
      <c r="P44" s="26"/>
    </row>
    <row r="45" spans="1:16">
      <c r="C45" s="26"/>
      <c r="D45" s="26"/>
      <c r="E45" s="73"/>
      <c r="F45" s="76"/>
      <c r="G45" s="72"/>
      <c r="H45" s="72"/>
      <c r="I45" s="78"/>
      <c r="J45" s="76"/>
      <c r="K45" s="52"/>
      <c r="L45" s="53"/>
      <c r="M45" s="74"/>
      <c r="N45" s="72"/>
      <c r="O45" s="172"/>
      <c r="P45" s="26"/>
    </row>
    <row r="46" spans="1:16">
      <c r="C46" s="26"/>
      <c r="D46" s="26"/>
      <c r="E46" s="73"/>
      <c r="F46" s="76"/>
      <c r="G46" s="72"/>
      <c r="H46" s="72"/>
      <c r="I46" s="78"/>
      <c r="J46" s="76"/>
      <c r="K46" s="52"/>
      <c r="L46" s="53"/>
      <c r="M46" s="74"/>
      <c r="N46" s="72"/>
      <c r="O46" s="172"/>
      <c r="P46" s="26"/>
    </row>
    <row r="47" spans="1:16">
      <c r="C47" s="26"/>
      <c r="D47" s="26"/>
      <c r="E47" s="73"/>
      <c r="F47" s="76"/>
      <c r="G47" s="72"/>
      <c r="H47" s="72"/>
      <c r="I47" s="78"/>
      <c r="J47" s="76"/>
      <c r="K47" s="52"/>
      <c r="L47" s="53"/>
      <c r="M47" s="74"/>
      <c r="N47" s="72"/>
      <c r="O47" s="172"/>
      <c r="P47" s="26"/>
    </row>
    <row r="48" spans="1:16">
      <c r="C48" s="26"/>
      <c r="D48" s="26"/>
      <c r="E48" s="73"/>
      <c r="F48" s="76"/>
      <c r="G48" s="72"/>
      <c r="H48" s="72"/>
      <c r="I48" s="78"/>
      <c r="J48" s="76"/>
      <c r="K48" s="52"/>
      <c r="L48" s="53"/>
      <c r="M48" s="74"/>
      <c r="N48" s="72"/>
      <c r="O48" s="172"/>
      <c r="P48" s="26"/>
    </row>
    <row r="49" spans="3:16">
      <c r="C49" s="26"/>
      <c r="D49" s="26"/>
      <c r="E49" s="73"/>
      <c r="F49" s="76"/>
      <c r="G49" s="72"/>
      <c r="H49" s="72"/>
      <c r="I49" s="78"/>
      <c r="J49" s="76"/>
      <c r="K49" s="52"/>
      <c r="L49" s="53"/>
      <c r="M49" s="74"/>
      <c r="N49" s="72"/>
      <c r="O49" s="172"/>
      <c r="P49" s="26"/>
    </row>
    <row r="50" spans="3:16">
      <c r="C50" s="26"/>
      <c r="D50" s="26"/>
      <c r="E50" s="73"/>
      <c r="F50" s="76"/>
      <c r="G50" s="72"/>
      <c r="H50" s="72"/>
      <c r="I50" s="78"/>
      <c r="J50" s="76"/>
      <c r="K50" s="52"/>
      <c r="L50" s="53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6"/>
  <dimension ref="A1:Q52"/>
  <sheetViews>
    <sheetView workbookViewId="0">
      <selection activeCell="K27" sqref="K2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58" customWidth="1"/>
    <col min="10" max="10" width="18.28515625" style="58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7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44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/>
      <c r="B2" s="40"/>
      <c r="C2" s="40"/>
      <c r="D2" s="40"/>
      <c r="E2" s="43"/>
      <c r="F2" s="40"/>
      <c r="G2" s="184"/>
      <c r="H2" s="40"/>
      <c r="I2" s="40"/>
      <c r="J2" s="40"/>
      <c r="K2" s="173"/>
      <c r="L2" s="40"/>
      <c r="M2" s="4" t="e">
        <f t="shared" ref="M2:M20" si="0">K2/L2</f>
        <v>#DIV/0!</v>
      </c>
      <c r="N2" s="40"/>
      <c r="O2" s="40" t="s">
        <v>76</v>
      </c>
      <c r="P2" s="22" t="s">
        <v>115</v>
      </c>
      <c r="Q2" s="142"/>
    </row>
    <row r="3" spans="1:17">
      <c r="A3" s="43"/>
      <c r="B3" s="40"/>
      <c r="C3" s="40"/>
      <c r="D3" s="40"/>
      <c r="E3" s="43"/>
      <c r="F3" s="40"/>
      <c r="G3" s="184"/>
      <c r="H3" s="40"/>
      <c r="I3" s="40"/>
      <c r="J3" s="40"/>
      <c r="K3" s="173"/>
      <c r="L3" s="40"/>
      <c r="M3" s="4" t="e">
        <f t="shared" si="0"/>
        <v>#DIV/0!</v>
      </c>
      <c r="N3" s="40"/>
      <c r="O3" s="40" t="s">
        <v>76</v>
      </c>
      <c r="P3" s="22" t="s">
        <v>115</v>
      </c>
      <c r="Q3" s="142"/>
    </row>
    <row r="4" spans="1:17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4" t="e">
        <f t="shared" si="0"/>
        <v>#DIV/0!</v>
      </c>
      <c r="N4" s="40"/>
      <c r="O4" s="40" t="s">
        <v>76</v>
      </c>
      <c r="P4" s="22" t="s">
        <v>115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4" t="e">
        <f t="shared" si="0"/>
        <v>#DIV/0!</v>
      </c>
      <c r="N5" s="40"/>
      <c r="O5" s="40" t="s">
        <v>76</v>
      </c>
      <c r="P5" s="22" t="s">
        <v>115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115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115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115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115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115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115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115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115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115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115</v>
      </c>
      <c r="Q15" s="142"/>
    </row>
    <row r="16" spans="1:17">
      <c r="A16" s="40"/>
      <c r="B16" s="40"/>
      <c r="C16" s="40"/>
      <c r="D16" s="40"/>
      <c r="E16" s="43"/>
      <c r="F16" s="40"/>
      <c r="G16" s="184"/>
      <c r="H16" s="40"/>
      <c r="I16" s="40"/>
      <c r="J16" s="40"/>
      <c r="K16" s="173"/>
      <c r="L16" s="40"/>
      <c r="M16" s="4" t="e">
        <f t="shared" si="0"/>
        <v>#DIV/0!</v>
      </c>
      <c r="N16" s="40"/>
      <c r="O16" s="40" t="s">
        <v>76</v>
      </c>
      <c r="P16" s="22" t="s">
        <v>115</v>
      </c>
      <c r="Q16" s="142"/>
    </row>
    <row r="17" spans="1:17">
      <c r="A17" s="40"/>
      <c r="B17" s="40"/>
      <c r="C17" s="40"/>
      <c r="D17" s="40"/>
      <c r="E17" s="43"/>
      <c r="F17" s="40"/>
      <c r="G17" s="184"/>
      <c r="H17" s="40"/>
      <c r="I17" s="40"/>
      <c r="J17" s="40"/>
      <c r="K17" s="173"/>
      <c r="L17" s="40"/>
      <c r="M17" s="4" t="e">
        <f t="shared" si="0"/>
        <v>#DIV/0!</v>
      </c>
      <c r="N17" s="40"/>
      <c r="O17" s="40" t="s">
        <v>76</v>
      </c>
      <c r="P17" s="22" t="s">
        <v>115</v>
      </c>
      <c r="Q17" s="142"/>
    </row>
    <row r="18" spans="1:17">
      <c r="A18" s="22"/>
      <c r="B18" s="22"/>
      <c r="C18" s="22"/>
      <c r="D18" s="22"/>
      <c r="E18" s="178"/>
      <c r="F18" s="40"/>
      <c r="G18" s="50"/>
      <c r="H18" s="3"/>
      <c r="I18" s="12"/>
      <c r="J18" s="40"/>
      <c r="K18" s="5"/>
      <c r="L18" s="23"/>
      <c r="M18" s="4" t="e">
        <f t="shared" si="0"/>
        <v>#DIV/0!</v>
      </c>
      <c r="N18" s="38"/>
      <c r="O18" s="40" t="s">
        <v>76</v>
      </c>
      <c r="P18" s="22" t="s">
        <v>115</v>
      </c>
      <c r="Q18" s="142"/>
    </row>
    <row r="19" spans="1:17">
      <c r="A19" s="108"/>
      <c r="B19" s="108"/>
      <c r="C19" s="108"/>
      <c r="D19" s="108"/>
      <c r="E19" s="179"/>
      <c r="F19" s="40"/>
      <c r="G19" s="189"/>
      <c r="H19" s="109"/>
      <c r="I19" s="119"/>
      <c r="J19" s="103"/>
      <c r="K19" s="111"/>
      <c r="L19" s="110"/>
      <c r="M19" s="4" t="e">
        <f t="shared" si="0"/>
        <v>#DIV/0!</v>
      </c>
      <c r="N19" s="113"/>
      <c r="O19" s="40" t="s">
        <v>76</v>
      </c>
      <c r="P19" s="22" t="s">
        <v>115</v>
      </c>
      <c r="Q19" s="142"/>
    </row>
    <row r="20" spans="1:17">
      <c r="A20" s="22"/>
      <c r="B20" s="22"/>
      <c r="C20" s="22"/>
      <c r="D20" s="22"/>
      <c r="E20" s="178"/>
      <c r="F20" s="40"/>
      <c r="G20" s="50"/>
      <c r="H20" s="3"/>
      <c r="I20" s="215"/>
      <c r="J20" s="40"/>
      <c r="K20" s="171"/>
      <c r="L20" s="23"/>
      <c r="M20" s="4" t="e">
        <f t="shared" si="0"/>
        <v>#DIV/0!</v>
      </c>
      <c r="N20" s="3"/>
      <c r="O20" s="40" t="s">
        <v>76</v>
      </c>
      <c r="P20" s="22" t="s">
        <v>115</v>
      </c>
      <c r="Q20" s="142"/>
    </row>
    <row r="21" spans="1:17">
      <c r="A21" s="26"/>
      <c r="B21" s="26"/>
      <c r="C21" s="26"/>
      <c r="D21" s="26"/>
      <c r="E21" s="73"/>
      <c r="F21" s="76"/>
      <c r="G21" s="72"/>
      <c r="H21" s="72"/>
      <c r="I21" s="78"/>
      <c r="J21" s="76"/>
      <c r="K21" s="52"/>
      <c r="L21" s="53"/>
      <c r="M21" s="74"/>
      <c r="N21" s="72"/>
      <c r="O21" s="172"/>
      <c r="P21" s="26"/>
    </row>
    <row r="22" spans="1:17">
      <c r="A22" s="26"/>
      <c r="B22" s="26"/>
      <c r="C22" s="26"/>
      <c r="D22" s="26"/>
      <c r="E22" s="73"/>
      <c r="F22" s="76"/>
      <c r="G22" s="72"/>
      <c r="H22" s="72"/>
      <c r="I22" s="78"/>
      <c r="J22" s="76"/>
      <c r="K22" s="52"/>
      <c r="L22" s="53"/>
      <c r="M22" s="74"/>
      <c r="N22" s="72"/>
      <c r="O22" s="172"/>
      <c r="P22" s="26"/>
    </row>
    <row r="23" spans="1:17">
      <c r="A23" s="26"/>
      <c r="B23" s="26"/>
      <c r="C23" s="26"/>
      <c r="D23" s="26"/>
      <c r="E23" s="73"/>
      <c r="F23" s="76"/>
      <c r="G23" s="72"/>
      <c r="H23" s="72"/>
      <c r="I23" s="78"/>
      <c r="J23" s="76"/>
      <c r="K23" s="52"/>
      <c r="L23" s="53"/>
      <c r="M23" s="74"/>
      <c r="N23" s="72"/>
      <c r="O23" s="172"/>
      <c r="P23" s="26"/>
    </row>
    <row r="24" spans="1:17">
      <c r="A24" s="26"/>
      <c r="B24" s="26"/>
      <c r="C24" s="26"/>
      <c r="D24" s="26"/>
      <c r="E24" s="73"/>
      <c r="F24" s="76"/>
      <c r="G24" s="72"/>
      <c r="H24" s="72"/>
      <c r="I24" s="78"/>
      <c r="J24" s="76"/>
      <c r="K24" s="52"/>
      <c r="L24" s="53"/>
      <c r="M24" s="74"/>
      <c r="N24" s="72"/>
      <c r="O24" s="172"/>
      <c r="P24" s="26"/>
    </row>
    <row r="25" spans="1:17">
      <c r="A25" s="26"/>
      <c r="B25" s="26"/>
      <c r="C25" s="26"/>
      <c r="D25" s="26"/>
      <c r="E25" s="73"/>
      <c r="F25" s="76"/>
      <c r="G25" s="72"/>
      <c r="H25" s="72"/>
      <c r="I25" s="78"/>
      <c r="J25" s="76"/>
      <c r="K25" s="52"/>
      <c r="L25" s="53"/>
      <c r="M25" s="74"/>
      <c r="N25" s="72"/>
      <c r="O25" s="172"/>
      <c r="P25" s="26"/>
    </row>
    <row r="26" spans="1:17">
      <c r="A26" s="26"/>
      <c r="B26" s="26"/>
      <c r="C26" s="26"/>
      <c r="D26" s="26"/>
      <c r="E26" s="73"/>
      <c r="F26" s="76"/>
      <c r="G26" s="72"/>
      <c r="H26" s="72"/>
      <c r="I26" s="78"/>
      <c r="J26" s="76"/>
      <c r="K26" s="52"/>
      <c r="L26" s="53"/>
      <c r="M26" s="74"/>
      <c r="N26" s="72"/>
      <c r="O26" s="172"/>
      <c r="P26" s="26"/>
    </row>
    <row r="27" spans="1:17">
      <c r="A27" s="26"/>
      <c r="B27" s="26"/>
      <c r="C27" s="26"/>
      <c r="D27" s="26"/>
      <c r="E27" s="73"/>
      <c r="F27" s="76"/>
      <c r="G27" s="72"/>
      <c r="H27" s="72"/>
      <c r="I27" s="78"/>
      <c r="J27" s="76"/>
      <c r="K27" s="52"/>
      <c r="L27" s="53"/>
      <c r="M27" s="74"/>
      <c r="N27" s="72"/>
      <c r="O27" s="172"/>
      <c r="P27" s="26"/>
    </row>
    <row r="28" spans="1:17">
      <c r="A28" s="26"/>
      <c r="B28" s="26"/>
      <c r="C28" s="26"/>
      <c r="D28" s="26"/>
      <c r="E28" s="73"/>
      <c r="F28" s="76"/>
      <c r="G28" s="72"/>
      <c r="H28" s="72"/>
      <c r="I28" s="78"/>
      <c r="J28" s="76"/>
      <c r="K28" s="52"/>
      <c r="L28" s="53"/>
      <c r="M28" s="74"/>
      <c r="N28" s="72"/>
      <c r="O28" s="172"/>
      <c r="P28" s="26"/>
    </row>
    <row r="29" spans="1:17">
      <c r="A29" s="26"/>
      <c r="B29" s="26"/>
      <c r="C29" s="26"/>
      <c r="D29" s="26"/>
      <c r="E29" s="73"/>
      <c r="F29" s="76"/>
      <c r="G29" s="72"/>
      <c r="H29" s="72"/>
      <c r="I29" s="78"/>
      <c r="J29" s="76"/>
      <c r="K29" s="52"/>
      <c r="L29" s="53"/>
      <c r="M29" s="74"/>
      <c r="N29" s="72"/>
      <c r="O29" s="172"/>
      <c r="P29" s="26"/>
    </row>
    <row r="30" spans="1:17">
      <c r="A30" s="26"/>
      <c r="B30" s="26"/>
      <c r="C30" s="26"/>
      <c r="D30" s="26"/>
      <c r="E30" s="73"/>
      <c r="F30" s="76"/>
      <c r="G30" s="72"/>
      <c r="H30" s="72"/>
      <c r="I30" s="78"/>
      <c r="J30" s="76"/>
      <c r="K30" s="52"/>
      <c r="L30" s="53"/>
      <c r="M30" s="74"/>
      <c r="N30" s="72"/>
      <c r="O30" s="172"/>
      <c r="P30" s="26"/>
    </row>
    <row r="31" spans="1:17">
      <c r="A31" s="26"/>
      <c r="B31" s="26"/>
      <c r="C31" s="26"/>
      <c r="D31" s="26"/>
      <c r="E31" s="73"/>
      <c r="F31" s="76"/>
      <c r="G31" s="72"/>
      <c r="H31" s="72"/>
      <c r="I31" s="78"/>
      <c r="J31" s="76"/>
      <c r="K31" s="52"/>
      <c r="L31" s="53"/>
      <c r="M31" s="74"/>
      <c r="N31" s="72"/>
      <c r="O31" s="172"/>
      <c r="P31" s="26"/>
    </row>
    <row r="32" spans="1:17">
      <c r="A32" s="26"/>
      <c r="B32" s="26"/>
      <c r="C32" s="26"/>
      <c r="D32" s="26"/>
      <c r="E32" s="73"/>
      <c r="F32" s="76"/>
      <c r="G32" s="72"/>
      <c r="H32" s="72"/>
      <c r="I32" s="78"/>
      <c r="J32" s="76"/>
      <c r="K32" s="52"/>
      <c r="L32" s="53"/>
      <c r="M32" s="74"/>
      <c r="N32" s="72"/>
      <c r="O32" s="172"/>
      <c r="P32" s="26"/>
    </row>
    <row r="33" spans="1:16">
      <c r="A33" s="26"/>
      <c r="B33" s="26"/>
      <c r="C33" s="26"/>
      <c r="D33" s="26"/>
      <c r="E33" s="73"/>
      <c r="F33" s="76"/>
      <c r="G33" s="72"/>
      <c r="H33" s="72"/>
      <c r="I33" s="78"/>
      <c r="J33" s="76"/>
      <c r="K33" s="52"/>
      <c r="L33" s="53"/>
      <c r="M33" s="74"/>
      <c r="N33" s="72"/>
      <c r="O33" s="172"/>
      <c r="P33" s="26"/>
    </row>
    <row r="34" spans="1:16">
      <c r="C34" s="26"/>
      <c r="D34" s="26"/>
      <c r="E34" s="73"/>
      <c r="F34" s="76"/>
      <c r="G34" s="72"/>
      <c r="H34" s="72"/>
      <c r="I34" s="78"/>
      <c r="J34" s="76"/>
      <c r="K34" s="52"/>
      <c r="L34" s="53"/>
      <c r="M34" s="74"/>
      <c r="N34" s="72"/>
      <c r="O34" s="172"/>
      <c r="P34" s="26"/>
    </row>
    <row r="35" spans="1:16">
      <c r="C35" s="26"/>
      <c r="D35" s="26"/>
      <c r="E35" s="73"/>
      <c r="F35" s="76"/>
      <c r="G35" s="72"/>
      <c r="H35" s="72"/>
      <c r="I35" s="78"/>
      <c r="J35" s="76"/>
      <c r="K35" s="52"/>
      <c r="L35" s="53"/>
      <c r="M35" s="74"/>
      <c r="N35" s="72"/>
      <c r="O35" s="172"/>
      <c r="P35" s="26"/>
    </row>
    <row r="36" spans="1:16">
      <c r="C36" s="26"/>
      <c r="D36" s="26"/>
      <c r="E36" s="73"/>
      <c r="F36" s="76"/>
      <c r="G36" s="72"/>
      <c r="H36" s="72"/>
      <c r="I36" s="78"/>
      <c r="J36" s="76"/>
      <c r="K36" s="52"/>
      <c r="L36" s="53"/>
      <c r="M36" s="74"/>
      <c r="N36" s="72"/>
      <c r="O36" s="172"/>
      <c r="P36" s="26"/>
    </row>
    <row r="37" spans="1:16">
      <c r="C37" s="26"/>
      <c r="D37" s="26"/>
      <c r="E37" s="73"/>
      <c r="F37" s="76"/>
      <c r="G37" s="72"/>
      <c r="H37" s="72"/>
      <c r="I37" s="78"/>
      <c r="J37" s="76"/>
      <c r="K37" s="52"/>
      <c r="L37" s="53"/>
      <c r="M37" s="74"/>
      <c r="N37" s="72"/>
      <c r="O37" s="172"/>
      <c r="P37" s="26"/>
    </row>
    <row r="38" spans="1:16">
      <c r="C38" s="26"/>
      <c r="D38" s="26"/>
      <c r="E38" s="73"/>
      <c r="F38" s="76"/>
      <c r="G38" s="72"/>
      <c r="H38" s="72"/>
      <c r="I38" s="78"/>
      <c r="J38" s="76"/>
      <c r="K38" s="52"/>
      <c r="L38" s="53"/>
      <c r="M38" s="74"/>
      <c r="N38" s="72"/>
      <c r="O38" s="172"/>
      <c r="P38" s="26"/>
    </row>
    <row r="39" spans="1:16">
      <c r="C39" s="26"/>
      <c r="D39" s="26"/>
      <c r="E39" s="73"/>
      <c r="F39" s="76"/>
      <c r="G39" s="72"/>
      <c r="H39" s="72"/>
      <c r="I39" s="78"/>
      <c r="J39" s="76"/>
      <c r="K39" s="52"/>
      <c r="L39" s="53"/>
      <c r="M39" s="74"/>
      <c r="N39" s="72"/>
      <c r="O39" s="172"/>
      <c r="P39" s="26"/>
    </row>
    <row r="40" spans="1:16">
      <c r="C40" s="26"/>
      <c r="D40" s="26"/>
      <c r="E40" s="73"/>
      <c r="F40" s="76"/>
      <c r="G40" s="72"/>
      <c r="H40" s="72"/>
      <c r="I40" s="78"/>
      <c r="J40" s="76"/>
      <c r="K40" s="52"/>
      <c r="L40" s="53"/>
      <c r="M40" s="74"/>
      <c r="N40" s="72"/>
      <c r="O40" s="172"/>
      <c r="P40" s="26"/>
    </row>
    <row r="41" spans="1:16">
      <c r="C41" s="26"/>
      <c r="D41" s="26"/>
      <c r="E41" s="73"/>
      <c r="F41" s="76"/>
      <c r="G41" s="72"/>
      <c r="H41" s="72"/>
      <c r="I41" s="78"/>
      <c r="J41" s="76"/>
      <c r="K41" s="52"/>
      <c r="L41" s="53"/>
      <c r="M41" s="74"/>
      <c r="N41" s="72"/>
      <c r="O41" s="172"/>
      <c r="P41" s="26"/>
    </row>
    <row r="42" spans="1:16">
      <c r="C42" s="26"/>
      <c r="D42" s="26"/>
      <c r="E42" s="73"/>
      <c r="F42" s="76"/>
      <c r="G42" s="72"/>
      <c r="H42" s="72"/>
      <c r="I42" s="78"/>
      <c r="J42" s="76"/>
      <c r="K42" s="52"/>
      <c r="L42" s="53"/>
      <c r="M42" s="74"/>
      <c r="N42" s="72"/>
      <c r="O42" s="172"/>
      <c r="P42" s="26"/>
    </row>
    <row r="43" spans="1:16">
      <c r="C43" s="26"/>
      <c r="D43" s="26"/>
      <c r="E43" s="73"/>
      <c r="F43" s="76"/>
      <c r="G43" s="72"/>
      <c r="H43" s="72"/>
      <c r="I43" s="78"/>
      <c r="J43" s="76"/>
      <c r="K43" s="52"/>
      <c r="L43" s="53"/>
      <c r="M43" s="74"/>
      <c r="N43" s="72"/>
      <c r="O43" s="172"/>
      <c r="P43" s="26"/>
    </row>
    <row r="44" spans="1:16">
      <c r="C44" s="26"/>
      <c r="D44" s="26"/>
      <c r="E44" s="73"/>
      <c r="F44" s="76"/>
      <c r="G44" s="72"/>
      <c r="H44" s="72"/>
      <c r="I44" s="78"/>
      <c r="J44" s="76"/>
      <c r="K44" s="52"/>
      <c r="L44" s="53"/>
      <c r="M44" s="74"/>
      <c r="N44" s="72"/>
      <c r="O44" s="172"/>
      <c r="P44" s="26"/>
    </row>
    <row r="45" spans="1:16">
      <c r="C45" s="26"/>
      <c r="D45" s="26"/>
      <c r="E45" s="73"/>
      <c r="F45" s="76"/>
      <c r="G45" s="72"/>
      <c r="H45" s="72"/>
      <c r="I45" s="78"/>
      <c r="J45" s="76"/>
      <c r="K45" s="52"/>
      <c r="L45" s="53"/>
      <c r="M45" s="74"/>
      <c r="N45" s="72"/>
      <c r="O45" s="172"/>
      <c r="P45" s="26"/>
    </row>
    <row r="46" spans="1:16">
      <c r="C46" s="26"/>
      <c r="D46" s="26"/>
      <c r="E46" s="73"/>
      <c r="F46" s="76"/>
      <c r="G46" s="72"/>
      <c r="H46" s="72"/>
      <c r="I46" s="78"/>
      <c r="J46" s="76"/>
      <c r="K46" s="52"/>
      <c r="L46" s="53"/>
      <c r="M46" s="74"/>
      <c r="N46" s="72"/>
      <c r="O46" s="172"/>
      <c r="P46" s="26"/>
    </row>
    <row r="47" spans="1:16">
      <c r="C47" s="26"/>
      <c r="D47" s="26"/>
      <c r="E47" s="73"/>
      <c r="F47" s="76"/>
      <c r="G47" s="72"/>
      <c r="H47" s="72"/>
      <c r="I47" s="78"/>
      <c r="J47" s="76"/>
      <c r="K47" s="52"/>
      <c r="L47" s="53"/>
      <c r="M47" s="74"/>
      <c r="N47" s="72"/>
      <c r="O47" s="172"/>
      <c r="P47" s="26"/>
    </row>
    <row r="48" spans="1:16">
      <c r="C48" s="26"/>
      <c r="D48" s="26"/>
      <c r="E48" s="73"/>
      <c r="F48" s="76"/>
      <c r="G48" s="72"/>
      <c r="H48" s="72"/>
      <c r="I48" s="78"/>
      <c r="J48" s="76"/>
      <c r="K48" s="52"/>
      <c r="L48" s="53"/>
      <c r="M48" s="74"/>
      <c r="N48" s="72"/>
      <c r="O48" s="172"/>
      <c r="P48" s="26"/>
    </row>
    <row r="49" spans="3:16">
      <c r="C49" s="26"/>
      <c r="D49" s="26"/>
      <c r="E49" s="73"/>
      <c r="F49" s="76"/>
      <c r="G49" s="72"/>
      <c r="H49" s="72"/>
      <c r="I49" s="78"/>
      <c r="J49" s="76"/>
      <c r="K49" s="52"/>
      <c r="L49" s="53"/>
      <c r="M49" s="74"/>
      <c r="N49" s="72"/>
      <c r="O49" s="172"/>
      <c r="P49" s="26"/>
    </row>
    <row r="50" spans="3:16">
      <c r="C50" s="26"/>
      <c r="D50" s="26"/>
      <c r="E50" s="73"/>
      <c r="F50" s="76"/>
      <c r="G50" s="72"/>
      <c r="H50" s="72"/>
      <c r="I50" s="78"/>
      <c r="J50" s="76"/>
      <c r="K50" s="52"/>
      <c r="L50" s="53"/>
      <c r="M50" s="74"/>
      <c r="N50" s="72"/>
      <c r="O50" s="172"/>
      <c r="P50" s="26"/>
    </row>
    <row r="51" spans="3:16">
      <c r="J51" s="76"/>
    </row>
    <row r="52" spans="3:16">
      <c r="J52" s="76"/>
    </row>
  </sheetData>
  <autoFilter ref="A1:Q20"/>
  <dataValidations count="6">
    <dataValidation type="list" allowBlank="1" showInputMessage="1" showErrorMessage="1" sqref="O2:O50">
      <formula1>Район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/>
  <dimension ref="A1:Q52"/>
  <sheetViews>
    <sheetView topLeftCell="A8" workbookViewId="0">
      <selection activeCell="D5" sqref="D5"/>
    </sheetView>
  </sheetViews>
  <sheetFormatPr defaultRowHeight="12.75"/>
  <cols>
    <col min="1" max="1" width="5.425781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1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435</v>
      </c>
      <c r="C2" s="40" t="s">
        <v>353</v>
      </c>
      <c r="D2" s="40" t="s">
        <v>223</v>
      </c>
      <c r="E2" s="244" t="s">
        <v>100</v>
      </c>
      <c r="F2" s="40" t="s">
        <v>154</v>
      </c>
      <c r="G2" s="185">
        <v>6</v>
      </c>
      <c r="H2" s="56">
        <v>6</v>
      </c>
      <c r="I2" s="40"/>
      <c r="J2" s="40" t="s">
        <v>127</v>
      </c>
      <c r="K2" s="240">
        <v>52</v>
      </c>
      <c r="L2" s="56">
        <v>95</v>
      </c>
      <c r="M2" s="4">
        <f t="shared" ref="M2:M24" si="0">K2/L2</f>
        <v>0.54736842105263162</v>
      </c>
      <c r="N2" s="40" t="s">
        <v>49</v>
      </c>
      <c r="O2" s="40" t="s">
        <v>76</v>
      </c>
      <c r="P2" s="22" t="s">
        <v>25</v>
      </c>
      <c r="Q2" s="142"/>
    </row>
    <row r="3" spans="1:17">
      <c r="A3" s="43">
        <v>2</v>
      </c>
      <c r="B3" s="40" t="s">
        <v>436</v>
      </c>
      <c r="C3" s="40" t="s">
        <v>242</v>
      </c>
      <c r="D3" s="40" t="s">
        <v>233</v>
      </c>
      <c r="E3" s="244" t="s">
        <v>100</v>
      </c>
      <c r="F3" s="40" t="s">
        <v>154</v>
      </c>
      <c r="G3" s="185">
        <v>6</v>
      </c>
      <c r="H3" s="56">
        <v>6</v>
      </c>
      <c r="I3" s="40"/>
      <c r="J3" s="40" t="s">
        <v>127</v>
      </c>
      <c r="K3" s="240">
        <v>48</v>
      </c>
      <c r="L3" s="56">
        <v>95</v>
      </c>
      <c r="M3" s="4">
        <f t="shared" si="0"/>
        <v>0.50526315789473686</v>
      </c>
      <c r="N3" s="40" t="s">
        <v>50</v>
      </c>
      <c r="O3" s="40" t="s">
        <v>76</v>
      </c>
      <c r="P3" s="22" t="s">
        <v>25</v>
      </c>
      <c r="Q3" s="142"/>
    </row>
    <row r="4" spans="1:17" ht="12.75" customHeight="1">
      <c r="A4" s="43">
        <v>3</v>
      </c>
      <c r="B4" s="22" t="s">
        <v>437</v>
      </c>
      <c r="C4" s="40" t="s">
        <v>438</v>
      </c>
      <c r="D4" s="40" t="s">
        <v>175</v>
      </c>
      <c r="E4" s="244" t="s">
        <v>100</v>
      </c>
      <c r="F4" s="40" t="s">
        <v>154</v>
      </c>
      <c r="G4" s="185">
        <v>6</v>
      </c>
      <c r="H4" s="56">
        <v>6</v>
      </c>
      <c r="I4" s="40"/>
      <c r="J4" s="40" t="s">
        <v>127</v>
      </c>
      <c r="K4" s="240">
        <v>35</v>
      </c>
      <c r="L4" s="56">
        <v>95</v>
      </c>
      <c r="M4" s="4">
        <f t="shared" si="0"/>
        <v>0.36842105263157893</v>
      </c>
      <c r="N4" s="40" t="s">
        <v>58</v>
      </c>
      <c r="O4" s="40" t="s">
        <v>76</v>
      </c>
      <c r="P4" s="22" t="s">
        <v>25</v>
      </c>
      <c r="Q4" s="142"/>
    </row>
    <row r="5" spans="1:17" ht="12.75" customHeight="1">
      <c r="A5" s="43">
        <v>4</v>
      </c>
      <c r="B5" s="22" t="s">
        <v>439</v>
      </c>
      <c r="C5" s="40" t="s">
        <v>440</v>
      </c>
      <c r="D5" s="40" t="s">
        <v>213</v>
      </c>
      <c r="E5" s="244" t="s">
        <v>99</v>
      </c>
      <c r="F5" s="40" t="s">
        <v>154</v>
      </c>
      <c r="G5" s="185">
        <v>6</v>
      </c>
      <c r="H5" s="56">
        <v>6</v>
      </c>
      <c r="I5" s="40"/>
      <c r="J5" s="40" t="s">
        <v>127</v>
      </c>
      <c r="K5" s="240">
        <v>28</v>
      </c>
      <c r="L5" s="56">
        <v>95</v>
      </c>
      <c r="M5" s="4">
        <f t="shared" si="0"/>
        <v>0.29473684210526313</v>
      </c>
      <c r="N5" s="40" t="s">
        <v>58</v>
      </c>
      <c r="O5" s="40" t="s">
        <v>76</v>
      </c>
      <c r="P5" s="22" t="s">
        <v>25</v>
      </c>
      <c r="Q5" s="142"/>
    </row>
    <row r="6" spans="1:17">
      <c r="A6" s="43">
        <v>5</v>
      </c>
      <c r="B6" s="22" t="s">
        <v>441</v>
      </c>
      <c r="C6" s="40" t="s">
        <v>353</v>
      </c>
      <c r="D6" s="40" t="s">
        <v>233</v>
      </c>
      <c r="E6" s="244" t="s">
        <v>100</v>
      </c>
      <c r="F6" s="40" t="s">
        <v>154</v>
      </c>
      <c r="G6" s="185">
        <v>6</v>
      </c>
      <c r="H6" s="56">
        <v>6</v>
      </c>
      <c r="I6" s="40"/>
      <c r="J6" s="40" t="s">
        <v>127</v>
      </c>
      <c r="K6" s="240">
        <v>23</v>
      </c>
      <c r="L6" s="56">
        <v>95</v>
      </c>
      <c r="M6" s="4">
        <f t="shared" si="0"/>
        <v>0.24210526315789474</v>
      </c>
      <c r="N6" s="40" t="s">
        <v>58</v>
      </c>
      <c r="O6" s="40" t="s">
        <v>76</v>
      </c>
      <c r="P6" s="22" t="s">
        <v>25</v>
      </c>
      <c r="Q6" s="142"/>
    </row>
    <row r="7" spans="1:17">
      <c r="A7" s="43">
        <v>6</v>
      </c>
      <c r="B7" s="22" t="s">
        <v>442</v>
      </c>
      <c r="C7" s="40" t="s">
        <v>443</v>
      </c>
      <c r="D7" s="40" t="s">
        <v>357</v>
      </c>
      <c r="E7" s="244" t="s">
        <v>99</v>
      </c>
      <c r="F7" s="40" t="s">
        <v>154</v>
      </c>
      <c r="G7" s="185">
        <v>7</v>
      </c>
      <c r="H7" s="56">
        <v>7</v>
      </c>
      <c r="I7" s="40"/>
      <c r="J7" s="40" t="s">
        <v>127</v>
      </c>
      <c r="K7" s="240">
        <v>27</v>
      </c>
      <c r="L7" s="56">
        <v>100</v>
      </c>
      <c r="M7" s="4">
        <f t="shared" si="0"/>
        <v>0.27</v>
      </c>
      <c r="N7" s="40" t="s">
        <v>58</v>
      </c>
      <c r="O7" s="40" t="s">
        <v>76</v>
      </c>
      <c r="P7" s="22" t="s">
        <v>25</v>
      </c>
      <c r="Q7" s="142"/>
    </row>
    <row r="8" spans="1:17" ht="12.75" customHeight="1">
      <c r="A8" s="43">
        <v>7</v>
      </c>
      <c r="B8" s="22" t="s">
        <v>444</v>
      </c>
      <c r="C8" s="40" t="s">
        <v>238</v>
      </c>
      <c r="D8" s="40" t="s">
        <v>220</v>
      </c>
      <c r="E8" s="244" t="s">
        <v>100</v>
      </c>
      <c r="F8" s="40" t="s">
        <v>154</v>
      </c>
      <c r="G8" s="185">
        <v>7</v>
      </c>
      <c r="H8" s="56">
        <v>7</v>
      </c>
      <c r="I8" s="40"/>
      <c r="J8" s="40" t="s">
        <v>127</v>
      </c>
      <c r="K8" s="240">
        <v>25</v>
      </c>
      <c r="L8" s="56">
        <v>100</v>
      </c>
      <c r="M8" s="4">
        <f t="shared" si="0"/>
        <v>0.25</v>
      </c>
      <c r="N8" s="40" t="s">
        <v>58</v>
      </c>
      <c r="O8" s="40" t="s">
        <v>76</v>
      </c>
      <c r="P8" s="22" t="s">
        <v>25</v>
      </c>
      <c r="Q8" s="142"/>
    </row>
    <row r="9" spans="1:17">
      <c r="A9" s="43">
        <v>8</v>
      </c>
      <c r="B9" s="22" t="s">
        <v>445</v>
      </c>
      <c r="C9" s="40" t="s">
        <v>173</v>
      </c>
      <c r="D9" s="40" t="s">
        <v>250</v>
      </c>
      <c r="E9" s="244" t="s">
        <v>100</v>
      </c>
      <c r="F9" s="40" t="s">
        <v>154</v>
      </c>
      <c r="G9" s="185">
        <v>8</v>
      </c>
      <c r="H9" s="56">
        <v>8</v>
      </c>
      <c r="I9" s="40"/>
      <c r="J9" s="40" t="s">
        <v>127</v>
      </c>
      <c r="K9" s="240">
        <v>37</v>
      </c>
      <c r="L9" s="56">
        <v>100</v>
      </c>
      <c r="M9" s="4">
        <f t="shared" si="0"/>
        <v>0.37</v>
      </c>
      <c r="N9" s="40" t="s">
        <v>58</v>
      </c>
      <c r="O9" s="40" t="s">
        <v>76</v>
      </c>
      <c r="P9" s="22" t="s">
        <v>25</v>
      </c>
      <c r="Q9" s="142"/>
    </row>
    <row r="10" spans="1:17">
      <c r="A10" s="43">
        <v>9</v>
      </c>
      <c r="B10" s="22" t="s">
        <v>446</v>
      </c>
      <c r="C10" s="40" t="s">
        <v>314</v>
      </c>
      <c r="D10" s="40" t="s">
        <v>313</v>
      </c>
      <c r="E10" s="244" t="s">
        <v>100</v>
      </c>
      <c r="F10" s="40" t="s">
        <v>154</v>
      </c>
      <c r="G10" s="185">
        <v>8</v>
      </c>
      <c r="H10" s="56">
        <v>8</v>
      </c>
      <c r="I10" s="40"/>
      <c r="J10" s="40" t="s">
        <v>127</v>
      </c>
      <c r="K10" s="240">
        <v>33</v>
      </c>
      <c r="L10" s="56">
        <v>100</v>
      </c>
      <c r="M10" s="4">
        <f t="shared" si="0"/>
        <v>0.33</v>
      </c>
      <c r="N10" s="40" t="s">
        <v>58</v>
      </c>
      <c r="O10" s="40" t="s">
        <v>76</v>
      </c>
      <c r="P10" s="22" t="s">
        <v>25</v>
      </c>
      <c r="Q10" s="142"/>
    </row>
    <row r="11" spans="1:17">
      <c r="A11" s="43">
        <v>10</v>
      </c>
      <c r="B11" s="22" t="s">
        <v>447</v>
      </c>
      <c r="C11" s="40" t="s">
        <v>183</v>
      </c>
      <c r="D11" s="40" t="s">
        <v>250</v>
      </c>
      <c r="E11" s="244" t="s">
        <v>100</v>
      </c>
      <c r="F11" s="40" t="s">
        <v>154</v>
      </c>
      <c r="G11" s="185">
        <v>8</v>
      </c>
      <c r="H11" s="56">
        <v>8</v>
      </c>
      <c r="I11" s="40"/>
      <c r="J11" s="40" t="s">
        <v>127</v>
      </c>
      <c r="K11" s="240">
        <v>30</v>
      </c>
      <c r="L11" s="56">
        <v>100</v>
      </c>
      <c r="M11" s="4">
        <f t="shared" si="0"/>
        <v>0.3</v>
      </c>
      <c r="N11" s="40" t="s">
        <v>58</v>
      </c>
      <c r="O11" s="40" t="s">
        <v>76</v>
      </c>
      <c r="P11" s="22" t="s">
        <v>25</v>
      </c>
      <c r="Q11" s="142"/>
    </row>
    <row r="12" spans="1:17">
      <c r="A12" s="43">
        <v>11</v>
      </c>
      <c r="B12" s="22" t="s">
        <v>448</v>
      </c>
      <c r="C12" s="40" t="s">
        <v>255</v>
      </c>
      <c r="D12" s="40" t="s">
        <v>449</v>
      </c>
      <c r="E12" s="244" t="s">
        <v>100</v>
      </c>
      <c r="F12" s="40" t="s">
        <v>154</v>
      </c>
      <c r="G12" s="185">
        <v>8</v>
      </c>
      <c r="H12" s="56">
        <v>8</v>
      </c>
      <c r="I12" s="40"/>
      <c r="J12" s="40" t="s">
        <v>127</v>
      </c>
      <c r="K12" s="240">
        <v>23</v>
      </c>
      <c r="L12" s="56">
        <v>100</v>
      </c>
      <c r="M12" s="4">
        <f t="shared" si="0"/>
        <v>0.23</v>
      </c>
      <c r="N12" s="40" t="s">
        <v>58</v>
      </c>
      <c r="O12" s="40" t="s">
        <v>76</v>
      </c>
      <c r="P12" s="22" t="s">
        <v>25</v>
      </c>
      <c r="Q12" s="142"/>
    </row>
    <row r="13" spans="1:17">
      <c r="A13" s="43">
        <v>12</v>
      </c>
      <c r="B13" s="22" t="s">
        <v>379</v>
      </c>
      <c r="C13" s="40" t="s">
        <v>380</v>
      </c>
      <c r="D13" s="40" t="s">
        <v>175</v>
      </c>
      <c r="E13" s="244" t="s">
        <v>100</v>
      </c>
      <c r="F13" s="40" t="s">
        <v>154</v>
      </c>
      <c r="G13" s="185">
        <v>8</v>
      </c>
      <c r="H13" s="56">
        <v>8</v>
      </c>
      <c r="I13" s="40"/>
      <c r="J13" s="40" t="s">
        <v>127</v>
      </c>
      <c r="K13" s="240">
        <v>17</v>
      </c>
      <c r="L13" s="56">
        <v>100</v>
      </c>
      <c r="M13" s="4">
        <f t="shared" si="0"/>
        <v>0.17</v>
      </c>
      <c r="N13" s="40" t="s">
        <v>58</v>
      </c>
      <c r="O13" s="40" t="s">
        <v>76</v>
      </c>
      <c r="P13" s="22" t="s">
        <v>25</v>
      </c>
      <c r="Q13" s="142"/>
    </row>
    <row r="14" spans="1:17">
      <c r="A14" s="43">
        <v>13</v>
      </c>
      <c r="B14" s="22" t="s">
        <v>450</v>
      </c>
      <c r="C14" s="40" t="s">
        <v>326</v>
      </c>
      <c r="D14" s="40" t="s">
        <v>451</v>
      </c>
      <c r="E14" s="244" t="s">
        <v>99</v>
      </c>
      <c r="F14" s="40" t="s">
        <v>154</v>
      </c>
      <c r="G14" s="185">
        <v>8</v>
      </c>
      <c r="H14" s="56">
        <v>8</v>
      </c>
      <c r="I14" s="40"/>
      <c r="J14" s="40" t="s">
        <v>127</v>
      </c>
      <c r="K14" s="240">
        <v>15</v>
      </c>
      <c r="L14" s="56">
        <v>100</v>
      </c>
      <c r="M14" s="4">
        <f t="shared" si="0"/>
        <v>0.15</v>
      </c>
      <c r="N14" s="40" t="s">
        <v>58</v>
      </c>
      <c r="O14" s="40" t="s">
        <v>76</v>
      </c>
      <c r="P14" s="22" t="s">
        <v>25</v>
      </c>
      <c r="Q14" s="142"/>
    </row>
    <row r="15" spans="1:17">
      <c r="A15" s="43">
        <v>14</v>
      </c>
      <c r="B15" s="22" t="s">
        <v>452</v>
      </c>
      <c r="C15" s="40" t="s">
        <v>263</v>
      </c>
      <c r="D15" s="40" t="s">
        <v>235</v>
      </c>
      <c r="E15" s="244" t="s">
        <v>100</v>
      </c>
      <c r="F15" s="40" t="s">
        <v>154</v>
      </c>
      <c r="G15" s="185">
        <v>8</v>
      </c>
      <c r="H15" s="56">
        <v>8</v>
      </c>
      <c r="I15" s="40"/>
      <c r="J15" s="40" t="s">
        <v>127</v>
      </c>
      <c r="K15" s="240">
        <v>14</v>
      </c>
      <c r="L15" s="56">
        <v>100</v>
      </c>
      <c r="M15" s="4">
        <f t="shared" si="0"/>
        <v>0.14000000000000001</v>
      </c>
      <c r="N15" s="40" t="s">
        <v>58</v>
      </c>
      <c r="O15" s="40" t="s">
        <v>76</v>
      </c>
      <c r="P15" s="22" t="s">
        <v>25</v>
      </c>
      <c r="Q15" s="142"/>
    </row>
    <row r="16" spans="1:17">
      <c r="A16" s="43">
        <v>15</v>
      </c>
      <c r="B16" s="3" t="s">
        <v>453</v>
      </c>
      <c r="C16" s="3" t="s">
        <v>440</v>
      </c>
      <c r="D16" s="3" t="s">
        <v>246</v>
      </c>
      <c r="E16" s="244" t="s">
        <v>99</v>
      </c>
      <c r="F16" s="40" t="s">
        <v>154</v>
      </c>
      <c r="G16" s="187">
        <v>9</v>
      </c>
      <c r="H16" s="23">
        <v>9</v>
      </c>
      <c r="I16" s="5"/>
      <c r="J16" s="40" t="s">
        <v>127</v>
      </c>
      <c r="K16" s="5">
        <v>37</v>
      </c>
      <c r="L16" s="3">
        <v>114</v>
      </c>
      <c r="M16" s="4">
        <f t="shared" si="0"/>
        <v>0.32456140350877194</v>
      </c>
      <c r="N16" s="40" t="s">
        <v>58</v>
      </c>
      <c r="O16" s="40" t="s">
        <v>76</v>
      </c>
      <c r="P16" s="22" t="s">
        <v>25</v>
      </c>
      <c r="Q16" s="142"/>
    </row>
    <row r="17" spans="1:17">
      <c r="A17" s="43">
        <v>16</v>
      </c>
      <c r="B17" s="3" t="s">
        <v>221</v>
      </c>
      <c r="C17" s="3" t="s">
        <v>177</v>
      </c>
      <c r="D17" s="3" t="s">
        <v>220</v>
      </c>
      <c r="E17" s="244" t="s">
        <v>100</v>
      </c>
      <c r="F17" s="40" t="s">
        <v>154</v>
      </c>
      <c r="G17" s="50">
        <v>9</v>
      </c>
      <c r="H17" s="3">
        <v>9</v>
      </c>
      <c r="I17" s="5"/>
      <c r="J17" s="40" t="s">
        <v>127</v>
      </c>
      <c r="K17" s="5">
        <v>35</v>
      </c>
      <c r="L17" s="3">
        <v>114</v>
      </c>
      <c r="M17" s="4">
        <f t="shared" si="0"/>
        <v>0.30701754385964913</v>
      </c>
      <c r="N17" s="40" t="s">
        <v>58</v>
      </c>
      <c r="O17" s="40" t="s">
        <v>76</v>
      </c>
      <c r="P17" s="22" t="s">
        <v>25</v>
      </c>
      <c r="Q17" s="142"/>
    </row>
    <row r="18" spans="1:17">
      <c r="A18" s="43">
        <v>17</v>
      </c>
      <c r="B18" s="3" t="s">
        <v>244</v>
      </c>
      <c r="C18" s="3" t="s">
        <v>245</v>
      </c>
      <c r="D18" s="3" t="s">
        <v>246</v>
      </c>
      <c r="E18" s="244" t="s">
        <v>99</v>
      </c>
      <c r="F18" s="40" t="s">
        <v>154</v>
      </c>
      <c r="G18" s="50">
        <v>9</v>
      </c>
      <c r="H18" s="3">
        <v>9</v>
      </c>
      <c r="I18" s="5"/>
      <c r="J18" s="40" t="s">
        <v>127</v>
      </c>
      <c r="K18" s="5">
        <v>34</v>
      </c>
      <c r="L18" s="3">
        <v>114</v>
      </c>
      <c r="M18" s="4">
        <f t="shared" si="0"/>
        <v>0.2982456140350877</v>
      </c>
      <c r="N18" s="40" t="s">
        <v>58</v>
      </c>
      <c r="O18" s="40" t="s">
        <v>76</v>
      </c>
      <c r="P18" s="22" t="s">
        <v>25</v>
      </c>
      <c r="Q18" s="142"/>
    </row>
    <row r="19" spans="1:17">
      <c r="A19" s="43">
        <v>18</v>
      </c>
      <c r="B19" s="109" t="s">
        <v>332</v>
      </c>
      <c r="C19" s="109" t="s">
        <v>333</v>
      </c>
      <c r="D19" s="109" t="s">
        <v>334</v>
      </c>
      <c r="E19" s="248" t="s">
        <v>99</v>
      </c>
      <c r="F19" s="40" t="s">
        <v>154</v>
      </c>
      <c r="G19" s="189">
        <v>9</v>
      </c>
      <c r="H19" s="109">
        <v>9</v>
      </c>
      <c r="I19" s="111"/>
      <c r="J19" s="40" t="s">
        <v>127</v>
      </c>
      <c r="K19" s="111">
        <v>23</v>
      </c>
      <c r="L19" s="3">
        <v>114</v>
      </c>
      <c r="M19" s="4">
        <f t="shared" si="0"/>
        <v>0.20175438596491227</v>
      </c>
      <c r="N19" s="40" t="s">
        <v>58</v>
      </c>
      <c r="O19" s="40" t="s">
        <v>76</v>
      </c>
      <c r="P19" s="108" t="s">
        <v>25</v>
      </c>
      <c r="Q19" s="142"/>
    </row>
    <row r="20" spans="1:17">
      <c r="A20" s="43">
        <v>19</v>
      </c>
      <c r="B20" s="3" t="s">
        <v>342</v>
      </c>
      <c r="C20" s="3" t="s">
        <v>343</v>
      </c>
      <c r="D20" s="3" t="s">
        <v>344</v>
      </c>
      <c r="E20" s="244" t="s">
        <v>99</v>
      </c>
      <c r="F20" s="40" t="s">
        <v>154</v>
      </c>
      <c r="G20" s="50">
        <v>9</v>
      </c>
      <c r="H20" s="3">
        <v>9</v>
      </c>
      <c r="I20" s="47"/>
      <c r="J20" s="40" t="s">
        <v>127</v>
      </c>
      <c r="K20" s="171">
        <v>16</v>
      </c>
      <c r="L20" s="3">
        <v>114</v>
      </c>
      <c r="M20" s="4">
        <f t="shared" si="0"/>
        <v>0.14035087719298245</v>
      </c>
      <c r="N20" s="40" t="s">
        <v>58</v>
      </c>
      <c r="O20" s="40" t="s">
        <v>76</v>
      </c>
      <c r="P20" s="22" t="s">
        <v>25</v>
      </c>
      <c r="Q20" s="142"/>
    </row>
    <row r="21" spans="1:17">
      <c r="A21" s="43">
        <v>20</v>
      </c>
      <c r="B21" s="3" t="s">
        <v>454</v>
      </c>
      <c r="C21" s="3" t="s">
        <v>320</v>
      </c>
      <c r="D21" s="3" t="s">
        <v>246</v>
      </c>
      <c r="E21" s="244" t="s">
        <v>99</v>
      </c>
      <c r="F21" s="40" t="s">
        <v>154</v>
      </c>
      <c r="G21" s="50">
        <v>9</v>
      </c>
      <c r="H21" s="3">
        <v>9</v>
      </c>
      <c r="I21" s="47"/>
      <c r="J21" s="40" t="s">
        <v>127</v>
      </c>
      <c r="K21" s="171">
        <v>7</v>
      </c>
      <c r="L21" s="3">
        <v>114</v>
      </c>
      <c r="M21" s="4">
        <f t="shared" si="0"/>
        <v>6.1403508771929821E-2</v>
      </c>
      <c r="N21" s="40" t="s">
        <v>58</v>
      </c>
      <c r="O21" s="40" t="s">
        <v>76</v>
      </c>
      <c r="P21" s="22" t="s">
        <v>25</v>
      </c>
      <c r="Q21" s="142"/>
    </row>
    <row r="22" spans="1:17">
      <c r="A22" s="43">
        <v>21</v>
      </c>
      <c r="B22" s="3" t="s">
        <v>455</v>
      </c>
      <c r="C22" s="3" t="s">
        <v>429</v>
      </c>
      <c r="D22" s="3" t="s">
        <v>216</v>
      </c>
      <c r="E22" s="244" t="s">
        <v>99</v>
      </c>
      <c r="F22" s="40" t="s">
        <v>154</v>
      </c>
      <c r="G22" s="50">
        <v>11</v>
      </c>
      <c r="H22" s="3">
        <v>11</v>
      </c>
      <c r="I22" s="47"/>
      <c r="J22" s="40" t="s">
        <v>127</v>
      </c>
      <c r="K22" s="171">
        <v>72</v>
      </c>
      <c r="L22" s="3">
        <v>100</v>
      </c>
      <c r="M22" s="252">
        <f t="shared" si="0"/>
        <v>0.72</v>
      </c>
      <c r="N22" s="3" t="s">
        <v>49</v>
      </c>
      <c r="O22" s="40" t="s">
        <v>76</v>
      </c>
      <c r="P22" s="22" t="s">
        <v>25</v>
      </c>
      <c r="Q22" s="142"/>
    </row>
    <row r="23" spans="1:17">
      <c r="A23" s="43">
        <v>22</v>
      </c>
      <c r="B23" s="3" t="s">
        <v>456</v>
      </c>
      <c r="C23" s="3" t="s">
        <v>320</v>
      </c>
      <c r="D23" s="3" t="s">
        <v>389</v>
      </c>
      <c r="E23" s="244" t="s">
        <v>99</v>
      </c>
      <c r="F23" s="40" t="s">
        <v>154</v>
      </c>
      <c r="G23" s="50">
        <v>11</v>
      </c>
      <c r="H23" s="3">
        <v>11</v>
      </c>
      <c r="I23" s="47"/>
      <c r="J23" s="40" t="s">
        <v>127</v>
      </c>
      <c r="K23" s="171">
        <v>62</v>
      </c>
      <c r="L23" s="3">
        <v>100</v>
      </c>
      <c r="M23" s="252">
        <f t="shared" si="0"/>
        <v>0.62</v>
      </c>
      <c r="N23" s="3" t="s">
        <v>50</v>
      </c>
      <c r="O23" s="40" t="s">
        <v>76</v>
      </c>
      <c r="P23" s="22" t="s">
        <v>25</v>
      </c>
      <c r="Q23" s="142"/>
    </row>
    <row r="24" spans="1:17">
      <c r="A24" s="43">
        <v>23</v>
      </c>
      <c r="B24" s="3" t="s">
        <v>397</v>
      </c>
      <c r="C24" s="3" t="s">
        <v>215</v>
      </c>
      <c r="D24" s="3" t="s">
        <v>357</v>
      </c>
      <c r="E24" s="244" t="s">
        <v>99</v>
      </c>
      <c r="F24" s="40" t="s">
        <v>154</v>
      </c>
      <c r="G24" s="50">
        <v>11</v>
      </c>
      <c r="H24" s="3">
        <v>11</v>
      </c>
      <c r="I24" s="47"/>
      <c r="J24" s="40" t="s">
        <v>127</v>
      </c>
      <c r="K24" s="171">
        <v>45</v>
      </c>
      <c r="L24" s="3">
        <v>100</v>
      </c>
      <c r="M24" s="252">
        <f t="shared" si="0"/>
        <v>0.45</v>
      </c>
      <c r="N24" s="3" t="s">
        <v>58</v>
      </c>
      <c r="O24" s="40" t="s">
        <v>76</v>
      </c>
      <c r="P24" s="22" t="s">
        <v>25</v>
      </c>
      <c r="Q24" s="142"/>
    </row>
    <row r="25" spans="1:17">
      <c r="A25" s="43">
        <v>24</v>
      </c>
      <c r="B25" s="3" t="s">
        <v>172</v>
      </c>
      <c r="C25" s="3" t="s">
        <v>173</v>
      </c>
      <c r="D25" s="3" t="s">
        <v>174</v>
      </c>
      <c r="E25" s="244" t="s">
        <v>100</v>
      </c>
      <c r="F25" s="40" t="s">
        <v>154</v>
      </c>
      <c r="G25" s="50">
        <v>11</v>
      </c>
      <c r="H25" s="3">
        <v>11</v>
      </c>
      <c r="I25" s="47"/>
      <c r="J25" s="40" t="s">
        <v>127</v>
      </c>
      <c r="K25" s="171">
        <v>15</v>
      </c>
      <c r="L25" s="3">
        <v>100</v>
      </c>
      <c r="M25" s="252">
        <f>K25/L25</f>
        <v>0.15</v>
      </c>
      <c r="N25" s="3" t="s">
        <v>58</v>
      </c>
      <c r="O25" s="40" t="s">
        <v>76</v>
      </c>
      <c r="P25" s="22" t="s">
        <v>25</v>
      </c>
      <c r="Q25" s="142"/>
    </row>
    <row r="26" spans="1:17">
      <c r="A26" s="43">
        <v>25</v>
      </c>
      <c r="B26" s="3" t="s">
        <v>351</v>
      </c>
      <c r="C26" s="3" t="s">
        <v>457</v>
      </c>
      <c r="D26" s="3" t="s">
        <v>175</v>
      </c>
      <c r="E26" s="56" t="s">
        <v>100</v>
      </c>
      <c r="F26" s="40" t="s">
        <v>154</v>
      </c>
      <c r="G26" s="50">
        <v>11</v>
      </c>
      <c r="H26" s="3">
        <v>11</v>
      </c>
      <c r="I26" s="47"/>
      <c r="J26" s="40" t="s">
        <v>127</v>
      </c>
      <c r="K26" s="171">
        <v>14</v>
      </c>
      <c r="L26" s="3">
        <v>100</v>
      </c>
      <c r="M26" s="252">
        <f t="shared" ref="M26:M28" si="1">K26/L26</f>
        <v>0.14000000000000001</v>
      </c>
      <c r="N26" s="3" t="s">
        <v>58</v>
      </c>
      <c r="O26" s="40" t="s">
        <v>76</v>
      </c>
      <c r="P26" s="22" t="s">
        <v>25</v>
      </c>
      <c r="Q26" s="142"/>
    </row>
    <row r="27" spans="1:17">
      <c r="A27" s="43">
        <v>26</v>
      </c>
      <c r="B27" s="3" t="s">
        <v>450</v>
      </c>
      <c r="C27" s="3" t="s">
        <v>458</v>
      </c>
      <c r="D27" s="3" t="s">
        <v>459</v>
      </c>
      <c r="E27" s="56" t="s">
        <v>100</v>
      </c>
      <c r="F27" s="40" t="s">
        <v>154</v>
      </c>
      <c r="G27" s="50">
        <v>11</v>
      </c>
      <c r="H27" s="3">
        <v>11</v>
      </c>
      <c r="I27" s="47"/>
      <c r="J27" s="40" t="s">
        <v>127</v>
      </c>
      <c r="K27" s="171">
        <v>12</v>
      </c>
      <c r="L27" s="3">
        <v>100</v>
      </c>
      <c r="M27" s="252">
        <f t="shared" si="1"/>
        <v>0.12</v>
      </c>
      <c r="N27" s="3" t="s">
        <v>58</v>
      </c>
      <c r="O27" s="40" t="s">
        <v>76</v>
      </c>
      <c r="P27" s="22" t="s">
        <v>25</v>
      </c>
      <c r="Q27" s="142"/>
    </row>
    <row r="28" spans="1:17">
      <c r="A28" s="43">
        <v>27</v>
      </c>
      <c r="B28" s="3" t="s">
        <v>348</v>
      </c>
      <c r="C28" s="3" t="s">
        <v>227</v>
      </c>
      <c r="D28" s="3" t="s">
        <v>459</v>
      </c>
      <c r="E28" s="56" t="s">
        <v>100</v>
      </c>
      <c r="F28" s="40" t="s">
        <v>154</v>
      </c>
      <c r="G28" s="50">
        <v>11</v>
      </c>
      <c r="H28" s="3">
        <v>11</v>
      </c>
      <c r="I28" s="47"/>
      <c r="J28" s="40" t="s">
        <v>127</v>
      </c>
      <c r="K28" s="171">
        <v>10</v>
      </c>
      <c r="L28" s="3">
        <v>100</v>
      </c>
      <c r="M28" s="252">
        <f t="shared" si="1"/>
        <v>0.1</v>
      </c>
      <c r="N28" s="3" t="s">
        <v>58</v>
      </c>
      <c r="O28" s="40" t="s">
        <v>76</v>
      </c>
      <c r="P28" s="22" t="s">
        <v>25</v>
      </c>
      <c r="Q28" s="142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7"/>
  <dimension ref="A1:Q52"/>
  <sheetViews>
    <sheetView workbookViewId="0">
      <selection activeCell="K27" sqref="K2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7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/>
      <c r="B2" s="40"/>
      <c r="C2" s="40"/>
      <c r="D2" s="40"/>
      <c r="E2" s="43"/>
      <c r="F2" s="40"/>
      <c r="G2" s="184"/>
      <c r="H2" s="40"/>
      <c r="I2" s="40"/>
      <c r="J2" s="40"/>
      <c r="K2" s="173"/>
      <c r="L2" s="40"/>
      <c r="M2" s="4" t="e">
        <f t="shared" ref="M2:M20" si="0">K2/L2</f>
        <v>#DIV/0!</v>
      </c>
      <c r="N2" s="40"/>
      <c r="O2" s="40" t="s">
        <v>76</v>
      </c>
      <c r="P2" s="22" t="s">
        <v>86</v>
      </c>
      <c r="Q2" s="142"/>
    </row>
    <row r="3" spans="1:17">
      <c r="A3" s="43"/>
      <c r="B3" s="40"/>
      <c r="C3" s="40"/>
      <c r="D3" s="40"/>
      <c r="E3" s="43"/>
      <c r="F3" s="40"/>
      <c r="G3" s="184"/>
      <c r="H3" s="40"/>
      <c r="I3" s="40"/>
      <c r="J3" s="40"/>
      <c r="K3" s="173"/>
      <c r="L3" s="40"/>
      <c r="M3" s="4" t="e">
        <f t="shared" si="0"/>
        <v>#DIV/0!</v>
      </c>
      <c r="N3" s="40"/>
      <c r="O3" s="40" t="s">
        <v>76</v>
      </c>
      <c r="P3" s="22" t="s">
        <v>86</v>
      </c>
      <c r="Q3" s="142"/>
    </row>
    <row r="4" spans="1:17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4" t="e">
        <f t="shared" si="0"/>
        <v>#DIV/0!</v>
      </c>
      <c r="N4" s="40"/>
      <c r="O4" s="40" t="s">
        <v>76</v>
      </c>
      <c r="P4" s="22" t="s">
        <v>86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4" t="e">
        <f t="shared" si="0"/>
        <v>#DIV/0!</v>
      </c>
      <c r="N5" s="40"/>
      <c r="O5" s="40" t="s">
        <v>76</v>
      </c>
      <c r="P5" s="22" t="s">
        <v>86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86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86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86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86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86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86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86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86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86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86</v>
      </c>
      <c r="Q15" s="142"/>
    </row>
    <row r="16" spans="1:17">
      <c r="A16" s="22"/>
      <c r="B16" s="40"/>
      <c r="C16" s="40"/>
      <c r="D16" s="40"/>
      <c r="E16" s="43"/>
      <c r="F16" s="40"/>
      <c r="G16" s="185"/>
      <c r="H16" s="56"/>
      <c r="I16" s="5"/>
      <c r="J16" s="40"/>
      <c r="K16" s="5"/>
      <c r="L16" s="3"/>
      <c r="M16" s="4" t="e">
        <f t="shared" si="0"/>
        <v>#DIV/0!</v>
      </c>
      <c r="N16" s="3"/>
      <c r="O16" s="40" t="s">
        <v>76</v>
      </c>
      <c r="P16" s="22" t="s">
        <v>86</v>
      </c>
      <c r="Q16" s="142"/>
    </row>
    <row r="17" spans="1:17">
      <c r="A17" s="22"/>
      <c r="B17" s="40"/>
      <c r="C17" s="40"/>
      <c r="D17" s="40"/>
      <c r="E17" s="43"/>
      <c r="F17" s="40"/>
      <c r="G17" s="185"/>
      <c r="H17" s="56"/>
      <c r="I17" s="5"/>
      <c r="J17" s="40"/>
      <c r="K17" s="5"/>
      <c r="L17" s="3"/>
      <c r="M17" s="4" t="e">
        <f t="shared" si="0"/>
        <v>#DIV/0!</v>
      </c>
      <c r="N17" s="3"/>
      <c r="O17" s="40" t="s">
        <v>76</v>
      </c>
      <c r="P17" s="22" t="s">
        <v>86</v>
      </c>
      <c r="Q17" s="142"/>
    </row>
    <row r="18" spans="1:17">
      <c r="A18" s="22"/>
      <c r="B18" s="40"/>
      <c r="C18" s="40"/>
      <c r="D18" s="40"/>
      <c r="E18" s="43"/>
      <c r="F18" s="40"/>
      <c r="G18" s="185"/>
      <c r="H18" s="56"/>
      <c r="I18" s="5"/>
      <c r="J18" s="40"/>
      <c r="K18" s="5"/>
      <c r="L18" s="3"/>
      <c r="M18" s="4" t="e">
        <f t="shared" si="0"/>
        <v>#DIV/0!</v>
      </c>
      <c r="N18" s="3"/>
      <c r="O18" s="40" t="s">
        <v>76</v>
      </c>
      <c r="P18" s="22" t="s">
        <v>86</v>
      </c>
      <c r="Q18" s="142"/>
    </row>
    <row r="19" spans="1:17">
      <c r="A19" s="108"/>
      <c r="B19" s="103"/>
      <c r="C19" s="103"/>
      <c r="D19" s="103"/>
      <c r="E19" s="107"/>
      <c r="F19" s="40"/>
      <c r="G19" s="186"/>
      <c r="H19" s="104"/>
      <c r="I19" s="111"/>
      <c r="J19" s="103"/>
      <c r="K19" s="111"/>
      <c r="L19" s="109"/>
      <c r="M19" s="4" t="e">
        <f t="shared" si="0"/>
        <v>#DIV/0!</v>
      </c>
      <c r="N19" s="109"/>
      <c r="O19" s="40" t="s">
        <v>76</v>
      </c>
      <c r="P19" s="108" t="s">
        <v>86</v>
      </c>
      <c r="Q19" s="142"/>
    </row>
    <row r="20" spans="1:17">
      <c r="A20" s="22"/>
      <c r="B20" s="40"/>
      <c r="C20" s="40"/>
      <c r="D20" s="40"/>
      <c r="E20" s="43"/>
      <c r="F20" s="40"/>
      <c r="G20" s="185"/>
      <c r="H20" s="56"/>
      <c r="I20" s="47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86</v>
      </c>
      <c r="Q20" s="142"/>
    </row>
    <row r="21" spans="1:17">
      <c r="A21" s="26"/>
      <c r="B21" s="76"/>
      <c r="C21" s="76"/>
      <c r="D21" s="76"/>
      <c r="E21" s="76"/>
      <c r="F21" s="76"/>
      <c r="G21" s="126"/>
      <c r="H21" s="126"/>
      <c r="I21" s="52"/>
      <c r="J21" s="76"/>
      <c r="K21" s="52"/>
      <c r="L21" s="72"/>
      <c r="M21" s="74"/>
      <c r="N21" s="72"/>
      <c r="O21" s="172"/>
      <c r="P21" s="26"/>
    </row>
    <row r="22" spans="1:17">
      <c r="A22" s="26"/>
      <c r="B22" s="76"/>
      <c r="C22" s="76"/>
      <c r="D22" s="76"/>
      <c r="E22" s="76"/>
      <c r="F22" s="76"/>
      <c r="G22" s="126"/>
      <c r="H22" s="126"/>
      <c r="I22" s="52"/>
      <c r="J22" s="76"/>
      <c r="K22" s="52"/>
      <c r="L22" s="72"/>
      <c r="M22" s="74"/>
      <c r="N22" s="72"/>
      <c r="O22" s="172"/>
      <c r="P22" s="26"/>
    </row>
    <row r="23" spans="1:17">
      <c r="A23" s="26"/>
      <c r="B23" s="76"/>
      <c r="C23" s="76"/>
      <c r="D23" s="76"/>
      <c r="E23" s="76"/>
      <c r="F23" s="76"/>
      <c r="G23" s="126"/>
      <c r="H23" s="126"/>
      <c r="I23" s="52"/>
      <c r="J23" s="76"/>
      <c r="K23" s="52"/>
      <c r="L23" s="72"/>
      <c r="M23" s="74"/>
      <c r="N23" s="72"/>
      <c r="O23" s="172"/>
      <c r="P23" s="26"/>
    </row>
    <row r="24" spans="1:17">
      <c r="A24" s="26"/>
      <c r="B24" s="76"/>
      <c r="C24" s="76"/>
      <c r="D24" s="76"/>
      <c r="E24" s="76"/>
      <c r="F24" s="76"/>
      <c r="G24" s="126"/>
      <c r="H24" s="126"/>
      <c r="I24" s="52"/>
      <c r="J24" s="76"/>
      <c r="K24" s="52"/>
      <c r="L24" s="72"/>
      <c r="M24" s="74"/>
      <c r="N24" s="72"/>
      <c r="O24" s="172"/>
      <c r="P24" s="26"/>
    </row>
    <row r="25" spans="1:17">
      <c r="A25" s="26"/>
      <c r="B25" s="76"/>
      <c r="C25" s="76"/>
      <c r="D25" s="76"/>
      <c r="E25" s="76"/>
      <c r="F25" s="76"/>
      <c r="G25" s="126"/>
      <c r="H25" s="126"/>
      <c r="I25" s="52"/>
      <c r="J25" s="76"/>
      <c r="K25" s="52"/>
      <c r="L25" s="72"/>
      <c r="M25" s="74"/>
      <c r="N25" s="72"/>
      <c r="O25" s="172"/>
      <c r="P25" s="26"/>
    </row>
    <row r="26" spans="1:17">
      <c r="A26" s="26"/>
      <c r="B26" s="76"/>
      <c r="C26" s="76"/>
      <c r="D26" s="76"/>
      <c r="E26" s="76"/>
      <c r="F26" s="76"/>
      <c r="G26" s="126"/>
      <c r="H26" s="126"/>
      <c r="I26" s="52"/>
      <c r="J26" s="76"/>
      <c r="K26" s="52"/>
      <c r="L26" s="72"/>
      <c r="M26" s="74"/>
      <c r="N26" s="72"/>
      <c r="O26" s="172"/>
      <c r="P26" s="26"/>
    </row>
    <row r="27" spans="1:17">
      <c r="A27" s="26"/>
      <c r="B27" s="76"/>
      <c r="C27" s="76"/>
      <c r="D27" s="76"/>
      <c r="E27" s="76"/>
      <c r="F27" s="76"/>
      <c r="G27" s="126"/>
      <c r="H27" s="126"/>
      <c r="I27" s="52"/>
      <c r="J27" s="76"/>
      <c r="K27" s="52"/>
      <c r="L27" s="72"/>
      <c r="M27" s="74"/>
      <c r="N27" s="72"/>
      <c r="O27" s="172"/>
      <c r="P27" s="26"/>
    </row>
    <row r="28" spans="1:17">
      <c r="A28" s="26"/>
      <c r="B28" s="76"/>
      <c r="C28" s="76"/>
      <c r="D28" s="76"/>
      <c r="E28" s="76"/>
      <c r="F28" s="76"/>
      <c r="G28" s="126"/>
      <c r="H28" s="126"/>
      <c r="I28" s="52"/>
      <c r="J28" s="76"/>
      <c r="K28" s="52"/>
      <c r="L28" s="72"/>
      <c r="M28" s="74"/>
      <c r="N28" s="72"/>
      <c r="O28" s="172"/>
      <c r="P28" s="26"/>
    </row>
    <row r="29" spans="1:17">
      <c r="A29" s="26"/>
      <c r="B29" s="76"/>
      <c r="C29" s="76"/>
      <c r="D29" s="76"/>
      <c r="E29" s="76"/>
      <c r="F29" s="76"/>
      <c r="G29" s="126"/>
      <c r="H29" s="126"/>
      <c r="I29" s="52"/>
      <c r="J29" s="76"/>
      <c r="K29" s="52"/>
      <c r="L29" s="72"/>
      <c r="M29" s="74"/>
      <c r="N29" s="72"/>
      <c r="O29" s="172"/>
      <c r="P29" s="26"/>
    </row>
    <row r="30" spans="1:17">
      <c r="A30" s="26"/>
      <c r="B30" s="76"/>
      <c r="C30" s="76"/>
      <c r="D30" s="76"/>
      <c r="E30" s="76"/>
      <c r="F30" s="76"/>
      <c r="G30" s="126"/>
      <c r="H30" s="126"/>
      <c r="I30" s="52"/>
      <c r="J30" s="76"/>
      <c r="K30" s="52"/>
      <c r="L30" s="72"/>
      <c r="M30" s="74"/>
      <c r="N30" s="72"/>
      <c r="O30" s="172"/>
      <c r="P30" s="26"/>
    </row>
    <row r="31" spans="1:17">
      <c r="A31" s="26"/>
      <c r="B31" s="76"/>
      <c r="C31" s="76"/>
      <c r="D31" s="76"/>
      <c r="E31" s="76"/>
      <c r="F31" s="76"/>
      <c r="G31" s="126"/>
      <c r="H31" s="126"/>
      <c r="I31" s="52"/>
      <c r="J31" s="76"/>
      <c r="K31" s="52"/>
      <c r="L31" s="72"/>
      <c r="M31" s="74"/>
      <c r="N31" s="72"/>
      <c r="O31" s="172"/>
      <c r="P31" s="26"/>
    </row>
    <row r="32" spans="1:17">
      <c r="A32" s="26"/>
      <c r="B32" s="76"/>
      <c r="C32" s="76"/>
      <c r="D32" s="76"/>
      <c r="E32" s="76"/>
      <c r="F32" s="76"/>
      <c r="G32" s="126"/>
      <c r="H32" s="126"/>
      <c r="I32" s="52"/>
      <c r="J32" s="76"/>
      <c r="K32" s="52"/>
      <c r="L32" s="72"/>
      <c r="M32" s="74"/>
      <c r="N32" s="72"/>
      <c r="O32" s="172"/>
      <c r="P32" s="26"/>
    </row>
    <row r="33" spans="1:16">
      <c r="A33" s="26"/>
      <c r="B33" s="76"/>
      <c r="C33" s="76"/>
      <c r="D33" s="76"/>
      <c r="E33" s="76"/>
      <c r="F33" s="76"/>
      <c r="G33" s="126"/>
      <c r="H33" s="126"/>
      <c r="I33" s="52"/>
      <c r="J33" s="76"/>
      <c r="K33" s="52"/>
      <c r="L33" s="72"/>
      <c r="M33" s="74"/>
      <c r="N33" s="72"/>
      <c r="O33" s="172"/>
      <c r="P33" s="26"/>
    </row>
    <row r="34" spans="1:16">
      <c r="C34" s="76"/>
      <c r="D34" s="76"/>
      <c r="E34" s="76"/>
      <c r="F34" s="76"/>
      <c r="G34" s="126"/>
      <c r="H34" s="126"/>
      <c r="I34" s="52"/>
      <c r="J34" s="76"/>
      <c r="K34" s="52"/>
      <c r="L34" s="72"/>
      <c r="M34" s="74"/>
      <c r="N34" s="72"/>
      <c r="O34" s="172"/>
      <c r="P34" s="26"/>
    </row>
    <row r="35" spans="1:16">
      <c r="C35" s="76"/>
      <c r="D35" s="76"/>
      <c r="E35" s="76"/>
      <c r="F35" s="76"/>
      <c r="G35" s="126"/>
      <c r="H35" s="126"/>
      <c r="I35" s="52"/>
      <c r="J35" s="76"/>
      <c r="K35" s="52"/>
      <c r="L35" s="72"/>
      <c r="M35" s="74"/>
      <c r="N35" s="72"/>
      <c r="O35" s="172"/>
      <c r="P35" s="26"/>
    </row>
    <row r="36" spans="1:16">
      <c r="C36" s="76"/>
      <c r="D36" s="76"/>
      <c r="E36" s="76"/>
      <c r="F36" s="76"/>
      <c r="G36" s="126"/>
      <c r="H36" s="126"/>
      <c r="I36" s="52"/>
      <c r="J36" s="76"/>
      <c r="K36" s="52"/>
      <c r="L36" s="72"/>
      <c r="M36" s="74"/>
      <c r="N36" s="72"/>
      <c r="O36" s="172"/>
      <c r="P36" s="26"/>
    </row>
    <row r="37" spans="1:16">
      <c r="C37" s="76"/>
      <c r="D37" s="76"/>
      <c r="E37" s="76"/>
      <c r="F37" s="76"/>
      <c r="G37" s="126"/>
      <c r="H37" s="126"/>
      <c r="I37" s="52"/>
      <c r="J37" s="76"/>
      <c r="K37" s="52"/>
      <c r="L37" s="72"/>
      <c r="M37" s="74"/>
      <c r="N37" s="72"/>
      <c r="O37" s="172"/>
      <c r="P37" s="26"/>
    </row>
    <row r="38" spans="1:16">
      <c r="C38" s="76"/>
      <c r="D38" s="76"/>
      <c r="E38" s="76"/>
      <c r="F38" s="76"/>
      <c r="G38" s="126"/>
      <c r="H38" s="126"/>
      <c r="I38" s="52"/>
      <c r="J38" s="76"/>
      <c r="K38" s="52"/>
      <c r="L38" s="72"/>
      <c r="M38" s="74"/>
      <c r="N38" s="72"/>
      <c r="O38" s="172"/>
      <c r="P38" s="26"/>
    </row>
    <row r="39" spans="1:16">
      <c r="C39" s="76"/>
      <c r="D39" s="76"/>
      <c r="E39" s="76"/>
      <c r="F39" s="76"/>
      <c r="G39" s="126"/>
      <c r="H39" s="126"/>
      <c r="I39" s="52"/>
      <c r="J39" s="76"/>
      <c r="K39" s="52"/>
      <c r="L39" s="72"/>
      <c r="M39" s="74"/>
      <c r="N39" s="72"/>
      <c r="O39" s="172"/>
      <c r="P39" s="26"/>
    </row>
    <row r="40" spans="1:16">
      <c r="C40" s="76"/>
      <c r="D40" s="76"/>
      <c r="E40" s="76"/>
      <c r="F40" s="76"/>
      <c r="G40" s="126"/>
      <c r="H40" s="126"/>
      <c r="I40" s="52"/>
      <c r="J40" s="76"/>
      <c r="K40" s="52"/>
      <c r="L40" s="72"/>
      <c r="M40" s="74"/>
      <c r="N40" s="72"/>
      <c r="O40" s="172"/>
      <c r="P40" s="26"/>
    </row>
    <row r="41" spans="1:16">
      <c r="C41" s="76"/>
      <c r="D41" s="76"/>
      <c r="E41" s="76"/>
      <c r="F41" s="76"/>
      <c r="G41" s="126"/>
      <c r="H41" s="126"/>
      <c r="I41" s="52"/>
      <c r="J41" s="76"/>
      <c r="K41" s="52"/>
      <c r="L41" s="72"/>
      <c r="M41" s="74"/>
      <c r="N41" s="72"/>
      <c r="O41" s="172"/>
      <c r="P41" s="26"/>
    </row>
    <row r="42" spans="1:16">
      <c r="C42" s="76"/>
      <c r="D42" s="76"/>
      <c r="E42" s="76"/>
      <c r="F42" s="76"/>
      <c r="G42" s="126"/>
      <c r="H42" s="126"/>
      <c r="I42" s="52"/>
      <c r="J42" s="76"/>
      <c r="K42" s="52"/>
      <c r="L42" s="72"/>
      <c r="M42" s="74"/>
      <c r="N42" s="72"/>
      <c r="O42" s="172"/>
      <c r="P42" s="26"/>
    </row>
    <row r="43" spans="1:16">
      <c r="C43" s="76"/>
      <c r="D43" s="76"/>
      <c r="E43" s="76"/>
      <c r="F43" s="76"/>
      <c r="G43" s="126"/>
      <c r="H43" s="126"/>
      <c r="I43" s="52"/>
      <c r="J43" s="76"/>
      <c r="K43" s="52"/>
      <c r="L43" s="72"/>
      <c r="M43" s="74"/>
      <c r="N43" s="72"/>
      <c r="O43" s="172"/>
      <c r="P43" s="26"/>
    </row>
    <row r="44" spans="1:16">
      <c r="C44" s="76"/>
      <c r="D44" s="76"/>
      <c r="E44" s="76"/>
      <c r="F44" s="76"/>
      <c r="G44" s="126"/>
      <c r="H44" s="126"/>
      <c r="I44" s="52"/>
      <c r="J44" s="76"/>
      <c r="K44" s="52"/>
      <c r="L44" s="72"/>
      <c r="M44" s="74"/>
      <c r="N44" s="72"/>
      <c r="O44" s="172"/>
      <c r="P44" s="26"/>
    </row>
    <row r="45" spans="1:16">
      <c r="C45" s="76"/>
      <c r="D45" s="76"/>
      <c r="E45" s="76"/>
      <c r="F45" s="76"/>
      <c r="G45" s="126"/>
      <c r="H45" s="126"/>
      <c r="I45" s="52"/>
      <c r="J45" s="76"/>
      <c r="K45" s="52"/>
      <c r="L45" s="72"/>
      <c r="M45" s="74"/>
      <c r="N45" s="72"/>
      <c r="O45" s="172"/>
      <c r="P45" s="26"/>
    </row>
    <row r="46" spans="1:16">
      <c r="C46" s="76"/>
      <c r="D46" s="76"/>
      <c r="E46" s="76"/>
      <c r="F46" s="76"/>
      <c r="G46" s="126"/>
      <c r="H46" s="126"/>
      <c r="I46" s="52"/>
      <c r="J46" s="76"/>
      <c r="K46" s="52"/>
      <c r="L46" s="72"/>
      <c r="M46" s="74"/>
      <c r="N46" s="72"/>
      <c r="O46" s="172"/>
      <c r="P46" s="26"/>
    </row>
    <row r="47" spans="1:16">
      <c r="C47" s="76"/>
      <c r="D47" s="76"/>
      <c r="E47" s="76"/>
      <c r="F47" s="76"/>
      <c r="G47" s="126"/>
      <c r="H47" s="126"/>
      <c r="I47" s="52"/>
      <c r="J47" s="76"/>
      <c r="K47" s="52"/>
      <c r="L47" s="72"/>
      <c r="M47" s="74"/>
      <c r="N47" s="72"/>
      <c r="O47" s="172"/>
      <c r="P47" s="26"/>
    </row>
    <row r="48" spans="1:16">
      <c r="C48" s="76"/>
      <c r="D48" s="76"/>
      <c r="E48" s="76"/>
      <c r="F48" s="76"/>
      <c r="G48" s="126"/>
      <c r="H48" s="126"/>
      <c r="I48" s="52"/>
      <c r="J48" s="76"/>
      <c r="K48" s="52"/>
      <c r="L48" s="72"/>
      <c r="M48" s="74"/>
      <c r="N48" s="72"/>
      <c r="O48" s="172"/>
      <c r="P48" s="26"/>
    </row>
    <row r="49" spans="3:16">
      <c r="C49" s="76"/>
      <c r="D49" s="76"/>
      <c r="E49" s="76"/>
      <c r="F49" s="76"/>
      <c r="G49" s="126"/>
      <c r="H49" s="126"/>
      <c r="I49" s="52"/>
      <c r="J49" s="76"/>
      <c r="K49" s="52"/>
      <c r="L49" s="72"/>
      <c r="M49" s="74"/>
      <c r="N49" s="72"/>
      <c r="O49" s="172"/>
      <c r="P49" s="26"/>
    </row>
    <row r="50" spans="3:16">
      <c r="C50" s="76"/>
      <c r="D50" s="76"/>
      <c r="E50" s="76"/>
      <c r="F50" s="76"/>
      <c r="G50" s="126"/>
      <c r="H50" s="126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dataValidations count="7">
    <dataValidation type="list" allowBlank="1" showInputMessage="1" showErrorMessage="1" sqref="E2:E50">
      <formula1>Пол</formula1>
    </dataValidation>
    <dataValidation type="list" allowBlank="1" showErrorMessage="1" sqref="N16:N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8"/>
  <dimension ref="A1:Q52"/>
  <sheetViews>
    <sheetView workbookViewId="0">
      <selection activeCell="K27" sqref="K2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7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/>
      <c r="B2" s="40"/>
      <c r="C2" s="40"/>
      <c r="D2" s="40"/>
      <c r="E2" s="43"/>
      <c r="F2" s="40"/>
      <c r="G2" s="184"/>
      <c r="H2" s="40"/>
      <c r="I2" s="40"/>
      <c r="J2" s="40"/>
      <c r="K2" s="173"/>
      <c r="L2" s="40"/>
      <c r="M2" s="4" t="e">
        <f t="shared" ref="M2:M20" si="0">K2/L2</f>
        <v>#DIV/0!</v>
      </c>
      <c r="N2" s="40"/>
      <c r="O2" s="40" t="s">
        <v>76</v>
      </c>
      <c r="P2" s="22" t="s">
        <v>87</v>
      </c>
      <c r="Q2" s="142"/>
    </row>
    <row r="3" spans="1:17">
      <c r="A3" s="43"/>
      <c r="B3" s="40"/>
      <c r="C3" s="40"/>
      <c r="D3" s="40"/>
      <c r="E3" s="43"/>
      <c r="F3" s="40"/>
      <c r="G3" s="184"/>
      <c r="H3" s="40"/>
      <c r="I3" s="40"/>
      <c r="J3" s="40"/>
      <c r="K3" s="173"/>
      <c r="L3" s="40"/>
      <c r="M3" s="4" t="e">
        <f t="shared" si="0"/>
        <v>#DIV/0!</v>
      </c>
      <c r="N3" s="40"/>
      <c r="O3" s="40" t="s">
        <v>76</v>
      </c>
      <c r="P3" s="22" t="s">
        <v>87</v>
      </c>
      <c r="Q3" s="142"/>
    </row>
    <row r="4" spans="1:17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4" t="e">
        <f t="shared" si="0"/>
        <v>#DIV/0!</v>
      </c>
      <c r="N4" s="40"/>
      <c r="O4" s="40" t="s">
        <v>76</v>
      </c>
      <c r="P4" s="22" t="s">
        <v>87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4" t="e">
        <f t="shared" si="0"/>
        <v>#DIV/0!</v>
      </c>
      <c r="N5" s="40"/>
      <c r="O5" s="40" t="s">
        <v>76</v>
      </c>
      <c r="P5" s="22" t="s">
        <v>87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87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87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87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87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87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87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87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87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87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87</v>
      </c>
      <c r="Q15" s="142"/>
    </row>
    <row r="16" spans="1:17">
      <c r="A16" s="22"/>
      <c r="B16" s="22"/>
      <c r="C16" s="22"/>
      <c r="D16" s="22"/>
      <c r="E16" s="174"/>
      <c r="F16" s="40"/>
      <c r="G16" s="190"/>
      <c r="H16" s="22"/>
      <c r="I16" s="22"/>
      <c r="J16" s="40"/>
      <c r="K16" s="22"/>
      <c r="L16" s="22"/>
      <c r="M16" s="4" t="e">
        <f t="shared" si="0"/>
        <v>#DIV/0!</v>
      </c>
      <c r="N16" s="22"/>
      <c r="O16" s="40" t="s">
        <v>76</v>
      </c>
      <c r="P16" s="22" t="s">
        <v>87</v>
      </c>
      <c r="Q16" s="142"/>
    </row>
    <row r="17" spans="1:17">
      <c r="A17" s="22"/>
      <c r="B17" s="22"/>
      <c r="C17" s="22"/>
      <c r="D17" s="22"/>
      <c r="E17" s="174"/>
      <c r="F17" s="40"/>
      <c r="G17" s="190"/>
      <c r="H17" s="22"/>
      <c r="I17" s="22"/>
      <c r="J17" s="40"/>
      <c r="K17" s="22"/>
      <c r="L17" s="22"/>
      <c r="M17" s="4" t="e">
        <f t="shared" si="0"/>
        <v>#DIV/0!</v>
      </c>
      <c r="N17" s="22"/>
      <c r="O17" s="40" t="s">
        <v>76</v>
      </c>
      <c r="P17" s="22" t="s">
        <v>87</v>
      </c>
      <c r="Q17" s="142"/>
    </row>
    <row r="18" spans="1:17">
      <c r="A18" s="22"/>
      <c r="B18" s="22"/>
      <c r="C18" s="22"/>
      <c r="D18" s="22"/>
      <c r="E18" s="174"/>
      <c r="F18" s="40"/>
      <c r="G18" s="190"/>
      <c r="H18" s="22"/>
      <c r="I18" s="22"/>
      <c r="J18" s="40"/>
      <c r="K18" s="22"/>
      <c r="L18" s="22"/>
      <c r="M18" s="4" t="e">
        <f t="shared" si="0"/>
        <v>#DIV/0!</v>
      </c>
      <c r="N18" s="22"/>
      <c r="O18" s="40" t="s">
        <v>76</v>
      </c>
      <c r="P18" s="22" t="s">
        <v>87</v>
      </c>
      <c r="Q18" s="142"/>
    </row>
    <row r="19" spans="1:17">
      <c r="A19" s="108"/>
      <c r="B19" s="108"/>
      <c r="C19" s="108"/>
      <c r="D19" s="108"/>
      <c r="E19" s="175"/>
      <c r="F19" s="40"/>
      <c r="G19" s="194"/>
      <c r="H19" s="108"/>
      <c r="I19" s="108"/>
      <c r="J19" s="103"/>
      <c r="K19" s="108"/>
      <c r="L19" s="108"/>
      <c r="M19" s="4" t="e">
        <f t="shared" si="0"/>
        <v>#DIV/0!</v>
      </c>
      <c r="N19" s="108"/>
      <c r="O19" s="40" t="s">
        <v>76</v>
      </c>
      <c r="P19" s="108" t="s">
        <v>87</v>
      </c>
      <c r="Q19" s="142"/>
    </row>
    <row r="20" spans="1:17">
      <c r="A20" s="22"/>
      <c r="B20" s="22"/>
      <c r="C20" s="22"/>
      <c r="D20" s="22"/>
      <c r="E20" s="174"/>
      <c r="F20" s="40"/>
      <c r="G20" s="190"/>
      <c r="H20" s="22"/>
      <c r="I20" s="174"/>
      <c r="J20" s="40"/>
      <c r="K20" s="190"/>
      <c r="L20" s="22"/>
      <c r="M20" s="4" t="e">
        <f t="shared" si="0"/>
        <v>#DIV/0!</v>
      </c>
      <c r="N20" s="22"/>
      <c r="O20" s="40" t="s">
        <v>76</v>
      </c>
      <c r="P20" s="22" t="s">
        <v>87</v>
      </c>
      <c r="Q20" s="142"/>
    </row>
    <row r="21" spans="1:17">
      <c r="A21" s="26"/>
      <c r="B21" s="26"/>
      <c r="C21" s="26"/>
      <c r="D21" s="26"/>
      <c r="E21" s="26"/>
      <c r="F21" s="76"/>
      <c r="G21" s="26"/>
      <c r="H21" s="26"/>
      <c r="I21" s="26"/>
      <c r="J21" s="76"/>
      <c r="K21" s="26"/>
      <c r="L21" s="26"/>
      <c r="M21" s="74"/>
      <c r="N21" s="26"/>
      <c r="O21" s="172"/>
      <c r="P21" s="26"/>
    </row>
    <row r="22" spans="1:17">
      <c r="A22" s="26"/>
      <c r="B22" s="26"/>
      <c r="C22" s="26"/>
      <c r="D22" s="26"/>
      <c r="E22" s="26"/>
      <c r="F22" s="76"/>
      <c r="G22" s="26"/>
      <c r="H22" s="26"/>
      <c r="I22" s="26"/>
      <c r="J22" s="76"/>
      <c r="K22" s="26"/>
      <c r="L22" s="26"/>
      <c r="M22" s="74"/>
      <c r="N22" s="26"/>
      <c r="O22" s="172"/>
      <c r="P22" s="26"/>
    </row>
    <row r="23" spans="1:17">
      <c r="A23" s="26"/>
      <c r="B23" s="26"/>
      <c r="C23" s="26"/>
      <c r="D23" s="26"/>
      <c r="E23" s="26"/>
      <c r="F23" s="76"/>
      <c r="G23" s="26"/>
      <c r="H23" s="26"/>
      <c r="I23" s="26"/>
      <c r="J23" s="76"/>
      <c r="K23" s="26"/>
      <c r="L23" s="26"/>
      <c r="M23" s="74"/>
      <c r="N23" s="26"/>
      <c r="O23" s="172"/>
      <c r="P23" s="26"/>
    </row>
    <row r="24" spans="1:17">
      <c r="A24" s="26"/>
      <c r="B24" s="26"/>
      <c r="C24" s="26"/>
      <c r="D24" s="26"/>
      <c r="E24" s="26"/>
      <c r="F24" s="76"/>
      <c r="G24" s="26"/>
      <c r="H24" s="26"/>
      <c r="I24" s="26"/>
      <c r="J24" s="76"/>
      <c r="K24" s="26"/>
      <c r="L24" s="26"/>
      <c r="M24" s="74"/>
      <c r="N24" s="26"/>
      <c r="O24" s="172"/>
      <c r="P24" s="26"/>
    </row>
    <row r="25" spans="1:17">
      <c r="A25" s="26"/>
      <c r="B25" s="26"/>
      <c r="C25" s="26"/>
      <c r="D25" s="26"/>
      <c r="E25" s="26"/>
      <c r="F25" s="76"/>
      <c r="G25" s="26"/>
      <c r="H25" s="26"/>
      <c r="I25" s="26"/>
      <c r="J25" s="76"/>
      <c r="K25" s="26"/>
      <c r="L25" s="26"/>
      <c r="M25" s="74"/>
      <c r="N25" s="26"/>
      <c r="O25" s="172"/>
      <c r="P25" s="26"/>
    </row>
    <row r="26" spans="1:17">
      <c r="A26" s="26"/>
      <c r="B26" s="26"/>
      <c r="C26" s="26"/>
      <c r="D26" s="26"/>
      <c r="E26" s="26"/>
      <c r="F26" s="76"/>
      <c r="G26" s="26"/>
      <c r="H26" s="26"/>
      <c r="I26" s="26"/>
      <c r="J26" s="76"/>
      <c r="K26" s="26"/>
      <c r="L26" s="26"/>
      <c r="M26" s="74"/>
      <c r="N26" s="26"/>
      <c r="O26" s="172"/>
      <c r="P26" s="26"/>
    </row>
    <row r="27" spans="1:17">
      <c r="A27" s="26"/>
      <c r="B27" s="26"/>
      <c r="C27" s="26"/>
      <c r="D27" s="26"/>
      <c r="E27" s="26"/>
      <c r="F27" s="76"/>
      <c r="G27" s="26"/>
      <c r="H27" s="26"/>
      <c r="I27" s="26"/>
      <c r="J27" s="76"/>
      <c r="K27" s="26"/>
      <c r="L27" s="26"/>
      <c r="M27" s="74"/>
      <c r="N27" s="26"/>
      <c r="O27" s="172"/>
      <c r="P27" s="26"/>
    </row>
    <row r="28" spans="1:17">
      <c r="A28" s="26"/>
      <c r="B28" s="26"/>
      <c r="C28" s="26"/>
      <c r="D28" s="26"/>
      <c r="E28" s="26"/>
      <c r="F28" s="76"/>
      <c r="G28" s="26"/>
      <c r="H28" s="26"/>
      <c r="I28" s="26"/>
      <c r="J28" s="76"/>
      <c r="K28" s="26"/>
      <c r="L28" s="26"/>
      <c r="M28" s="74"/>
      <c r="N28" s="26"/>
      <c r="O28" s="172"/>
      <c r="P28" s="26"/>
    </row>
    <row r="29" spans="1:17">
      <c r="A29" s="26"/>
      <c r="B29" s="26"/>
      <c r="C29" s="26"/>
      <c r="D29" s="26"/>
      <c r="E29" s="26"/>
      <c r="F29" s="76"/>
      <c r="G29" s="26"/>
      <c r="H29" s="26"/>
      <c r="I29" s="26"/>
      <c r="J29" s="76"/>
      <c r="K29" s="26"/>
      <c r="L29" s="26"/>
      <c r="M29" s="74"/>
      <c r="N29" s="26"/>
      <c r="O29" s="172"/>
      <c r="P29" s="26"/>
    </row>
    <row r="30" spans="1:17">
      <c r="A30" s="26"/>
      <c r="B30" s="26"/>
      <c r="C30" s="26"/>
      <c r="D30" s="26"/>
      <c r="E30" s="26"/>
      <c r="F30" s="76"/>
      <c r="G30" s="26"/>
      <c r="H30" s="26"/>
      <c r="I30" s="26"/>
      <c r="J30" s="76"/>
      <c r="K30" s="26"/>
      <c r="L30" s="26"/>
      <c r="M30" s="74"/>
      <c r="N30" s="26"/>
      <c r="O30" s="172"/>
      <c r="P30" s="26"/>
    </row>
    <row r="31" spans="1:17">
      <c r="A31" s="26"/>
      <c r="B31" s="26"/>
      <c r="C31" s="26"/>
      <c r="D31" s="26"/>
      <c r="E31" s="26"/>
      <c r="F31" s="76"/>
      <c r="G31" s="26"/>
      <c r="H31" s="26"/>
      <c r="I31" s="26"/>
      <c r="J31" s="76"/>
      <c r="K31" s="26"/>
      <c r="L31" s="26"/>
      <c r="M31" s="74"/>
      <c r="N31" s="26"/>
      <c r="O31" s="172"/>
      <c r="P31" s="26"/>
    </row>
    <row r="32" spans="1:17">
      <c r="A32" s="26"/>
      <c r="B32" s="26"/>
      <c r="C32" s="26"/>
      <c r="D32" s="26"/>
      <c r="E32" s="26"/>
      <c r="F32" s="76"/>
      <c r="G32" s="26"/>
      <c r="H32" s="26"/>
      <c r="I32" s="26"/>
      <c r="J32" s="76"/>
      <c r="K32" s="26"/>
      <c r="L32" s="26"/>
      <c r="M32" s="74"/>
      <c r="N32" s="26"/>
      <c r="O32" s="172"/>
      <c r="P32" s="26"/>
    </row>
    <row r="33" spans="1:16">
      <c r="A33" s="26"/>
      <c r="B33" s="26"/>
      <c r="C33" s="26"/>
      <c r="D33" s="26"/>
      <c r="E33" s="26"/>
      <c r="F33" s="76"/>
      <c r="G33" s="26"/>
      <c r="H33" s="26"/>
      <c r="I33" s="26"/>
      <c r="J33" s="76"/>
      <c r="K33" s="26"/>
      <c r="L33" s="26"/>
      <c r="M33" s="74"/>
      <c r="N33" s="26"/>
      <c r="O33" s="172"/>
      <c r="P33" s="26"/>
    </row>
    <row r="34" spans="1:16">
      <c r="C34" s="26"/>
      <c r="D34" s="26"/>
      <c r="E34" s="26"/>
      <c r="F34" s="76"/>
      <c r="G34" s="26"/>
      <c r="H34" s="26"/>
      <c r="I34" s="26"/>
      <c r="J34" s="76"/>
      <c r="K34" s="26"/>
      <c r="L34" s="26"/>
      <c r="M34" s="74"/>
      <c r="N34" s="26"/>
      <c r="O34" s="172"/>
      <c r="P34" s="26"/>
    </row>
    <row r="35" spans="1:16">
      <c r="C35" s="26"/>
      <c r="D35" s="26"/>
      <c r="E35" s="26"/>
      <c r="F35" s="76"/>
      <c r="G35" s="26"/>
      <c r="H35" s="26"/>
      <c r="I35" s="26"/>
      <c r="J35" s="76"/>
      <c r="K35" s="26"/>
      <c r="L35" s="26"/>
      <c r="M35" s="74"/>
      <c r="N35" s="26"/>
      <c r="O35" s="172"/>
      <c r="P35" s="26"/>
    </row>
    <row r="36" spans="1:16">
      <c r="C36" s="26"/>
      <c r="D36" s="26"/>
      <c r="E36" s="26"/>
      <c r="F36" s="76"/>
      <c r="G36" s="26"/>
      <c r="H36" s="26"/>
      <c r="I36" s="26"/>
      <c r="J36" s="76"/>
      <c r="K36" s="26"/>
      <c r="L36" s="26"/>
      <c r="M36" s="74"/>
      <c r="N36" s="26"/>
      <c r="O36" s="172"/>
      <c r="P36" s="26"/>
    </row>
    <row r="37" spans="1:16">
      <c r="C37" s="26"/>
      <c r="D37" s="26"/>
      <c r="E37" s="26"/>
      <c r="F37" s="76"/>
      <c r="G37" s="26"/>
      <c r="H37" s="26"/>
      <c r="I37" s="26"/>
      <c r="J37" s="76"/>
      <c r="K37" s="26"/>
      <c r="L37" s="26"/>
      <c r="M37" s="74"/>
      <c r="N37" s="26"/>
      <c r="O37" s="172"/>
      <c r="P37" s="26"/>
    </row>
    <row r="38" spans="1:16">
      <c r="C38" s="26"/>
      <c r="D38" s="26"/>
      <c r="E38" s="26"/>
      <c r="F38" s="76"/>
      <c r="G38" s="26"/>
      <c r="H38" s="26"/>
      <c r="I38" s="26"/>
      <c r="J38" s="76"/>
      <c r="K38" s="26"/>
      <c r="L38" s="26"/>
      <c r="M38" s="74"/>
      <c r="N38" s="26"/>
      <c r="O38" s="172"/>
      <c r="P38" s="26"/>
    </row>
    <row r="39" spans="1:16">
      <c r="C39" s="26"/>
      <c r="D39" s="26"/>
      <c r="E39" s="26"/>
      <c r="F39" s="76"/>
      <c r="G39" s="26"/>
      <c r="H39" s="26"/>
      <c r="I39" s="26"/>
      <c r="J39" s="76"/>
      <c r="K39" s="26"/>
      <c r="L39" s="26"/>
      <c r="M39" s="74"/>
      <c r="N39" s="26"/>
      <c r="O39" s="172"/>
      <c r="P39" s="26"/>
    </row>
    <row r="40" spans="1:16">
      <c r="C40" s="26"/>
      <c r="D40" s="26"/>
      <c r="E40" s="26"/>
      <c r="F40" s="76"/>
      <c r="G40" s="26"/>
      <c r="H40" s="26"/>
      <c r="I40" s="26"/>
      <c r="J40" s="76"/>
      <c r="K40" s="26"/>
      <c r="L40" s="26"/>
      <c r="M40" s="74"/>
      <c r="N40" s="26"/>
      <c r="O40" s="172"/>
      <c r="P40" s="26"/>
    </row>
    <row r="41" spans="1:16">
      <c r="C41" s="26"/>
      <c r="D41" s="26"/>
      <c r="E41" s="26"/>
      <c r="F41" s="76"/>
      <c r="G41" s="26"/>
      <c r="H41" s="26"/>
      <c r="I41" s="26"/>
      <c r="J41" s="76"/>
      <c r="K41" s="26"/>
      <c r="L41" s="26"/>
      <c r="M41" s="74"/>
      <c r="N41" s="26"/>
      <c r="O41" s="172"/>
      <c r="P41" s="26"/>
    </row>
    <row r="42" spans="1:16">
      <c r="C42" s="26"/>
      <c r="D42" s="26"/>
      <c r="E42" s="26"/>
      <c r="F42" s="76"/>
      <c r="G42" s="26"/>
      <c r="H42" s="26"/>
      <c r="I42" s="26"/>
      <c r="J42" s="76"/>
      <c r="K42" s="26"/>
      <c r="L42" s="26"/>
      <c r="M42" s="74"/>
      <c r="N42" s="26"/>
      <c r="O42" s="172"/>
      <c r="P42" s="26"/>
    </row>
    <row r="43" spans="1:16">
      <c r="C43" s="26"/>
      <c r="D43" s="26"/>
      <c r="E43" s="26"/>
      <c r="F43" s="76"/>
      <c r="G43" s="26"/>
      <c r="H43" s="26"/>
      <c r="I43" s="26"/>
      <c r="J43" s="76"/>
      <c r="K43" s="26"/>
      <c r="L43" s="26"/>
      <c r="M43" s="74"/>
      <c r="N43" s="26"/>
      <c r="O43" s="172"/>
      <c r="P43" s="26"/>
    </row>
    <row r="44" spans="1:16">
      <c r="C44" s="26"/>
      <c r="D44" s="26"/>
      <c r="E44" s="26"/>
      <c r="F44" s="76"/>
      <c r="G44" s="26"/>
      <c r="H44" s="26"/>
      <c r="I44" s="26"/>
      <c r="J44" s="76"/>
      <c r="K44" s="26"/>
      <c r="L44" s="26"/>
      <c r="M44" s="74"/>
      <c r="N44" s="26"/>
      <c r="O44" s="172"/>
      <c r="P44" s="26"/>
    </row>
    <row r="45" spans="1:16">
      <c r="C45" s="26"/>
      <c r="D45" s="26"/>
      <c r="E45" s="26"/>
      <c r="F45" s="76"/>
      <c r="G45" s="26"/>
      <c r="H45" s="26"/>
      <c r="I45" s="26"/>
      <c r="J45" s="76"/>
      <c r="K45" s="26"/>
      <c r="L45" s="26"/>
      <c r="M45" s="74"/>
      <c r="N45" s="26"/>
      <c r="O45" s="172"/>
      <c r="P45" s="26"/>
    </row>
    <row r="46" spans="1:16">
      <c r="C46" s="26"/>
      <c r="D46" s="26"/>
      <c r="E46" s="26"/>
      <c r="F46" s="76"/>
      <c r="G46" s="26"/>
      <c r="H46" s="26"/>
      <c r="I46" s="26"/>
      <c r="J46" s="76"/>
      <c r="K46" s="26"/>
      <c r="L46" s="26"/>
      <c r="M46" s="74"/>
      <c r="N46" s="26"/>
      <c r="O46" s="172"/>
      <c r="P46" s="26"/>
    </row>
    <row r="47" spans="1:16">
      <c r="C47" s="26"/>
      <c r="D47" s="26"/>
      <c r="E47" s="26"/>
      <c r="F47" s="76"/>
      <c r="G47" s="26"/>
      <c r="H47" s="26"/>
      <c r="I47" s="26"/>
      <c r="J47" s="76"/>
      <c r="K47" s="26"/>
      <c r="L47" s="26"/>
      <c r="M47" s="74"/>
      <c r="N47" s="26"/>
      <c r="O47" s="172"/>
      <c r="P47" s="26"/>
    </row>
    <row r="48" spans="1:16">
      <c r="C48" s="26"/>
      <c r="D48" s="26"/>
      <c r="E48" s="26"/>
      <c r="F48" s="76"/>
      <c r="G48" s="26"/>
      <c r="H48" s="26"/>
      <c r="I48" s="26"/>
      <c r="J48" s="76"/>
      <c r="K48" s="26"/>
      <c r="L48" s="26"/>
      <c r="M48" s="74"/>
      <c r="N48" s="26"/>
      <c r="O48" s="172"/>
      <c r="P48" s="26"/>
    </row>
    <row r="49" spans="3:16">
      <c r="C49" s="26"/>
      <c r="D49" s="26"/>
      <c r="E49" s="26"/>
      <c r="F49" s="76"/>
      <c r="G49" s="26"/>
      <c r="H49" s="26"/>
      <c r="I49" s="26"/>
      <c r="J49" s="76"/>
      <c r="K49" s="26"/>
      <c r="L49" s="26"/>
      <c r="M49" s="74"/>
      <c r="N49" s="26"/>
      <c r="O49" s="172"/>
      <c r="P49" s="26"/>
    </row>
    <row r="50" spans="3:16">
      <c r="C50" s="26"/>
      <c r="D50" s="26"/>
      <c r="E50" s="26"/>
      <c r="F50" s="76"/>
      <c r="G50" s="26"/>
      <c r="H50" s="26"/>
      <c r="I50" s="26"/>
      <c r="J50" s="76"/>
      <c r="K50" s="26"/>
      <c r="L50" s="26"/>
      <c r="M50" s="74"/>
      <c r="N50" s="26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dataValidations count="6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Q52"/>
  <sheetViews>
    <sheetView workbookViewId="0">
      <selection activeCell="D25" sqref="D25"/>
    </sheetView>
  </sheetViews>
  <sheetFormatPr defaultRowHeight="12.75"/>
  <cols>
    <col min="1" max="1" width="6.28515625" style="20" customWidth="1"/>
    <col min="2" max="2" width="16.7109375" style="20" customWidth="1"/>
    <col min="3" max="3" width="14.28515625" style="20" customWidth="1"/>
    <col min="4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1.710937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435</v>
      </c>
      <c r="C2" s="40" t="s">
        <v>200</v>
      </c>
      <c r="D2" s="40" t="s">
        <v>509</v>
      </c>
      <c r="E2" s="43" t="s">
        <v>100</v>
      </c>
      <c r="F2" s="40" t="s">
        <v>154</v>
      </c>
      <c r="G2" s="184">
        <v>6</v>
      </c>
      <c r="H2" s="40">
        <v>6</v>
      </c>
      <c r="I2" s="40"/>
      <c r="J2" s="40" t="s">
        <v>127</v>
      </c>
      <c r="K2" s="173">
        <v>29</v>
      </c>
      <c r="L2" s="239">
        <v>100</v>
      </c>
      <c r="M2" s="4">
        <f t="shared" ref="M2:M5" si="0">K2/L2</f>
        <v>0.28999999999999998</v>
      </c>
      <c r="N2" s="40" t="s">
        <v>58</v>
      </c>
      <c r="O2" s="40" t="s">
        <v>76</v>
      </c>
      <c r="P2" s="22" t="s">
        <v>22</v>
      </c>
      <c r="Q2" s="142"/>
    </row>
    <row r="3" spans="1:17">
      <c r="A3" s="43">
        <v>2</v>
      </c>
      <c r="B3" s="40" t="s">
        <v>674</v>
      </c>
      <c r="C3" s="40" t="s">
        <v>242</v>
      </c>
      <c r="D3" s="40" t="s">
        <v>233</v>
      </c>
      <c r="E3" s="43" t="s">
        <v>100</v>
      </c>
      <c r="F3" s="40" t="s">
        <v>465</v>
      </c>
      <c r="G3" s="184">
        <v>6</v>
      </c>
      <c r="H3" s="40">
        <v>6</v>
      </c>
      <c r="I3" s="40"/>
      <c r="J3" s="40" t="s">
        <v>127</v>
      </c>
      <c r="K3" s="173">
        <v>28</v>
      </c>
      <c r="L3" s="239">
        <v>100</v>
      </c>
      <c r="M3" s="4">
        <f t="shared" si="0"/>
        <v>0.28000000000000003</v>
      </c>
      <c r="N3" s="40" t="s">
        <v>58</v>
      </c>
      <c r="O3" s="40" t="s">
        <v>76</v>
      </c>
      <c r="P3" s="22" t="s">
        <v>22</v>
      </c>
      <c r="Q3" s="142"/>
    </row>
    <row r="4" spans="1:17" ht="12.75" customHeight="1">
      <c r="A4" s="43">
        <v>3</v>
      </c>
      <c r="B4" s="22" t="s">
        <v>259</v>
      </c>
      <c r="C4" s="40" t="s">
        <v>258</v>
      </c>
      <c r="D4" s="40" t="s">
        <v>252</v>
      </c>
      <c r="E4" s="43" t="s">
        <v>100</v>
      </c>
      <c r="F4" s="40" t="s">
        <v>466</v>
      </c>
      <c r="G4" s="184">
        <v>6</v>
      </c>
      <c r="H4" s="40">
        <v>6</v>
      </c>
      <c r="I4" s="40"/>
      <c r="J4" s="40" t="s">
        <v>127</v>
      </c>
      <c r="K4" s="173">
        <v>19</v>
      </c>
      <c r="L4" s="239">
        <v>100</v>
      </c>
      <c r="M4" s="4">
        <f t="shared" si="0"/>
        <v>0.19</v>
      </c>
      <c r="N4" s="40" t="s">
        <v>58</v>
      </c>
      <c r="O4" s="40" t="s">
        <v>76</v>
      </c>
      <c r="P4" s="22" t="s">
        <v>22</v>
      </c>
      <c r="Q4" s="142"/>
    </row>
    <row r="5" spans="1:17" ht="12.75" customHeight="1">
      <c r="A5" s="43">
        <v>4</v>
      </c>
      <c r="B5" s="22" t="s">
        <v>299</v>
      </c>
      <c r="C5" s="40" t="s">
        <v>227</v>
      </c>
      <c r="D5" s="40" t="s">
        <v>198</v>
      </c>
      <c r="E5" s="43" t="s">
        <v>100</v>
      </c>
      <c r="F5" s="40" t="s">
        <v>467</v>
      </c>
      <c r="G5" s="184">
        <v>7</v>
      </c>
      <c r="H5" s="40">
        <v>7</v>
      </c>
      <c r="I5" s="40"/>
      <c r="J5" s="40" t="s">
        <v>127</v>
      </c>
      <c r="K5" s="173">
        <v>26</v>
      </c>
      <c r="L5" s="239">
        <v>100</v>
      </c>
      <c r="M5" s="4">
        <f t="shared" si="0"/>
        <v>0.26</v>
      </c>
      <c r="N5" s="40" t="s">
        <v>58</v>
      </c>
      <c r="O5" s="40" t="s">
        <v>76</v>
      </c>
      <c r="P5" s="22" t="s">
        <v>22</v>
      </c>
      <c r="Q5" s="142"/>
    </row>
    <row r="6" spans="1:17">
      <c r="A6" s="43">
        <v>5</v>
      </c>
      <c r="B6" s="22" t="s">
        <v>315</v>
      </c>
      <c r="C6" s="40" t="s">
        <v>314</v>
      </c>
      <c r="D6" s="40" t="s">
        <v>313</v>
      </c>
      <c r="E6" s="43" t="s">
        <v>100</v>
      </c>
      <c r="F6" s="40" t="s">
        <v>154</v>
      </c>
      <c r="G6" s="184">
        <v>8</v>
      </c>
      <c r="H6" s="40">
        <v>8</v>
      </c>
      <c r="I6" s="40"/>
      <c r="J6" s="40" t="s">
        <v>127</v>
      </c>
      <c r="K6" s="173">
        <v>42</v>
      </c>
      <c r="L6" s="239">
        <v>100</v>
      </c>
      <c r="M6" s="4">
        <f t="shared" ref="M6:M23" si="1">K6/L6</f>
        <v>0.42</v>
      </c>
      <c r="N6" s="40" t="s">
        <v>50</v>
      </c>
      <c r="O6" s="40" t="s">
        <v>76</v>
      </c>
      <c r="P6" s="22" t="s">
        <v>22</v>
      </c>
      <c r="Q6" s="142"/>
    </row>
    <row r="7" spans="1:17">
      <c r="A7" s="43">
        <v>6</v>
      </c>
      <c r="B7" s="22" t="s">
        <v>318</v>
      </c>
      <c r="C7" s="40" t="s">
        <v>263</v>
      </c>
      <c r="D7" s="40" t="s">
        <v>235</v>
      </c>
      <c r="E7" s="43" t="s">
        <v>100</v>
      </c>
      <c r="F7" s="40" t="s">
        <v>154</v>
      </c>
      <c r="G7" s="184">
        <v>8</v>
      </c>
      <c r="H7" s="40">
        <v>8</v>
      </c>
      <c r="I7" s="40"/>
      <c r="J7" s="40" t="s">
        <v>127</v>
      </c>
      <c r="K7" s="173">
        <v>39</v>
      </c>
      <c r="L7" s="239">
        <v>100</v>
      </c>
      <c r="M7" s="4">
        <f t="shared" si="1"/>
        <v>0.39</v>
      </c>
      <c r="N7" s="40" t="s">
        <v>58</v>
      </c>
      <c r="O7" s="40" t="s">
        <v>76</v>
      </c>
      <c r="P7" s="22" t="s">
        <v>22</v>
      </c>
      <c r="Q7" s="142"/>
    </row>
    <row r="8" spans="1:17" ht="12.75" customHeight="1">
      <c r="A8" s="43">
        <v>7</v>
      </c>
      <c r="B8" s="22" t="s">
        <v>445</v>
      </c>
      <c r="C8" s="40" t="s">
        <v>173</v>
      </c>
      <c r="D8" s="40" t="s">
        <v>250</v>
      </c>
      <c r="E8" s="43" t="s">
        <v>100</v>
      </c>
      <c r="F8" s="40" t="s">
        <v>154</v>
      </c>
      <c r="G8" s="184">
        <v>8</v>
      </c>
      <c r="H8" s="40">
        <v>8</v>
      </c>
      <c r="I8" s="40"/>
      <c r="J8" s="40" t="s">
        <v>127</v>
      </c>
      <c r="K8" s="173">
        <v>29</v>
      </c>
      <c r="L8" s="239">
        <v>100</v>
      </c>
      <c r="M8" s="4">
        <f t="shared" si="1"/>
        <v>0.28999999999999998</v>
      </c>
      <c r="N8" s="40" t="s">
        <v>58</v>
      </c>
      <c r="O8" s="40" t="s">
        <v>76</v>
      </c>
      <c r="P8" s="22" t="s">
        <v>22</v>
      </c>
      <c r="Q8" s="142"/>
    </row>
    <row r="9" spans="1:17">
      <c r="A9" s="43">
        <v>8</v>
      </c>
      <c r="B9" s="22" t="s">
        <v>317</v>
      </c>
      <c r="C9" s="40" t="s">
        <v>316</v>
      </c>
      <c r="D9" s="40" t="s">
        <v>175</v>
      </c>
      <c r="E9" s="43" t="s">
        <v>100</v>
      </c>
      <c r="F9" s="40" t="s">
        <v>154</v>
      </c>
      <c r="G9" s="184">
        <v>8</v>
      </c>
      <c r="H9" s="40">
        <v>8</v>
      </c>
      <c r="I9" s="40"/>
      <c r="J9" s="40" t="s">
        <v>127</v>
      </c>
      <c r="K9" s="173">
        <v>26</v>
      </c>
      <c r="L9" s="239">
        <v>100</v>
      </c>
      <c r="M9" s="4">
        <f t="shared" si="1"/>
        <v>0.26</v>
      </c>
      <c r="N9" s="40" t="s">
        <v>58</v>
      </c>
      <c r="O9" s="40" t="s">
        <v>76</v>
      </c>
      <c r="P9" s="22" t="s">
        <v>22</v>
      </c>
      <c r="Q9" s="142"/>
    </row>
    <row r="10" spans="1:17">
      <c r="A10" s="43">
        <v>9</v>
      </c>
      <c r="B10" s="3" t="s">
        <v>573</v>
      </c>
      <c r="C10" s="3" t="s">
        <v>183</v>
      </c>
      <c r="D10" s="3" t="s">
        <v>250</v>
      </c>
      <c r="E10" s="178" t="s">
        <v>100</v>
      </c>
      <c r="F10" s="40" t="s">
        <v>154</v>
      </c>
      <c r="G10" s="184">
        <v>8</v>
      </c>
      <c r="H10" s="40">
        <v>8</v>
      </c>
      <c r="I10" s="5"/>
      <c r="J10" s="40" t="s">
        <v>127</v>
      </c>
      <c r="K10" s="266">
        <v>25</v>
      </c>
      <c r="L10" s="239">
        <v>100</v>
      </c>
      <c r="M10" s="4">
        <f t="shared" si="1"/>
        <v>0.25</v>
      </c>
      <c r="N10" s="40" t="s">
        <v>58</v>
      </c>
      <c r="O10" s="40" t="s">
        <v>76</v>
      </c>
      <c r="P10" s="22" t="s">
        <v>22</v>
      </c>
      <c r="Q10" s="142"/>
    </row>
    <row r="11" spans="1:17">
      <c r="A11" s="43">
        <v>10</v>
      </c>
      <c r="B11" s="3" t="s">
        <v>379</v>
      </c>
      <c r="C11" s="3" t="s">
        <v>380</v>
      </c>
      <c r="D11" s="3" t="s">
        <v>175</v>
      </c>
      <c r="E11" s="178" t="s">
        <v>100</v>
      </c>
      <c r="F11" s="40" t="s">
        <v>154</v>
      </c>
      <c r="G11" s="184">
        <v>8</v>
      </c>
      <c r="H11" s="40">
        <v>8</v>
      </c>
      <c r="I11" s="5"/>
      <c r="J11" s="40" t="s">
        <v>127</v>
      </c>
      <c r="K11" s="266">
        <v>13</v>
      </c>
      <c r="L11" s="239">
        <v>100</v>
      </c>
      <c r="M11" s="4">
        <f t="shared" si="1"/>
        <v>0.13</v>
      </c>
      <c r="N11" s="40" t="s">
        <v>58</v>
      </c>
      <c r="O11" s="40" t="s">
        <v>76</v>
      </c>
      <c r="P11" s="22" t="s">
        <v>22</v>
      </c>
      <c r="Q11" s="142"/>
    </row>
    <row r="12" spans="1:17">
      <c r="A12" s="43">
        <v>11</v>
      </c>
      <c r="B12" s="3" t="s">
        <v>705</v>
      </c>
      <c r="C12" s="3" t="s">
        <v>255</v>
      </c>
      <c r="D12" s="3" t="s">
        <v>449</v>
      </c>
      <c r="E12" s="178" t="s">
        <v>100</v>
      </c>
      <c r="F12" s="40" t="s">
        <v>154</v>
      </c>
      <c r="G12" s="184">
        <v>8</v>
      </c>
      <c r="H12" s="40">
        <v>8</v>
      </c>
      <c r="I12" s="5"/>
      <c r="J12" s="40" t="s">
        <v>127</v>
      </c>
      <c r="K12" s="266">
        <v>10</v>
      </c>
      <c r="L12" s="239">
        <v>100</v>
      </c>
      <c r="M12" s="4">
        <f t="shared" si="1"/>
        <v>0.1</v>
      </c>
      <c r="N12" s="40" t="s">
        <v>58</v>
      </c>
      <c r="O12" s="40" t="s">
        <v>76</v>
      </c>
      <c r="P12" s="22" t="s">
        <v>22</v>
      </c>
      <c r="Q12" s="142"/>
    </row>
    <row r="13" spans="1:17">
      <c r="A13" s="43">
        <v>12</v>
      </c>
      <c r="B13" s="40" t="s">
        <v>226</v>
      </c>
      <c r="C13" s="40" t="s">
        <v>227</v>
      </c>
      <c r="D13" s="40" t="s">
        <v>175</v>
      </c>
      <c r="E13" s="43" t="s">
        <v>100</v>
      </c>
      <c r="F13" s="40" t="s">
        <v>154</v>
      </c>
      <c r="G13" s="184">
        <v>9</v>
      </c>
      <c r="H13" s="40">
        <v>9</v>
      </c>
      <c r="I13" s="40"/>
      <c r="J13" s="40" t="s">
        <v>127</v>
      </c>
      <c r="K13" s="173">
        <v>56</v>
      </c>
      <c r="L13" s="239">
        <v>100</v>
      </c>
      <c r="M13" s="4">
        <f t="shared" si="1"/>
        <v>0.56000000000000005</v>
      </c>
      <c r="N13" s="40" t="s">
        <v>49</v>
      </c>
      <c r="O13" s="40" t="s">
        <v>76</v>
      </c>
      <c r="P13" s="22" t="s">
        <v>22</v>
      </c>
      <c r="Q13" s="142"/>
    </row>
    <row r="14" spans="1:17">
      <c r="A14" s="43">
        <v>13</v>
      </c>
      <c r="B14" s="40" t="s">
        <v>224</v>
      </c>
      <c r="C14" s="40" t="s">
        <v>225</v>
      </c>
      <c r="D14" s="40" t="s">
        <v>174</v>
      </c>
      <c r="E14" s="43" t="s">
        <v>100</v>
      </c>
      <c r="F14" s="40" t="s">
        <v>154</v>
      </c>
      <c r="G14" s="184">
        <v>9</v>
      </c>
      <c r="H14" s="40">
        <v>9</v>
      </c>
      <c r="I14" s="40"/>
      <c r="J14" s="40" t="s">
        <v>127</v>
      </c>
      <c r="K14" s="173">
        <v>54</v>
      </c>
      <c r="L14" s="239">
        <v>100</v>
      </c>
      <c r="M14" s="4">
        <f t="shared" si="1"/>
        <v>0.54</v>
      </c>
      <c r="N14" s="40" t="s">
        <v>50</v>
      </c>
      <c r="O14" s="40" t="s">
        <v>76</v>
      </c>
      <c r="P14" s="22" t="s">
        <v>22</v>
      </c>
      <c r="Q14" s="142"/>
    </row>
    <row r="15" spans="1:17">
      <c r="A15" s="43">
        <v>14</v>
      </c>
      <c r="B15" s="22" t="s">
        <v>331</v>
      </c>
      <c r="C15" s="40" t="s">
        <v>173</v>
      </c>
      <c r="D15" s="40" t="s">
        <v>223</v>
      </c>
      <c r="E15" s="43" t="s">
        <v>100</v>
      </c>
      <c r="F15" s="40" t="s">
        <v>154</v>
      </c>
      <c r="G15" s="184">
        <v>9</v>
      </c>
      <c r="H15" s="40">
        <v>9</v>
      </c>
      <c r="I15" s="40"/>
      <c r="J15" s="40" t="s">
        <v>127</v>
      </c>
      <c r="K15" s="173">
        <v>51</v>
      </c>
      <c r="L15" s="239">
        <v>100</v>
      </c>
      <c r="M15" s="4">
        <f t="shared" si="1"/>
        <v>0.51</v>
      </c>
      <c r="N15" s="40" t="s">
        <v>58</v>
      </c>
      <c r="O15" s="40" t="s">
        <v>76</v>
      </c>
      <c r="P15" s="22" t="s">
        <v>22</v>
      </c>
      <c r="Q15" s="142"/>
    </row>
    <row r="16" spans="1:17">
      <c r="A16" s="43">
        <v>15</v>
      </c>
      <c r="B16" s="22" t="s">
        <v>221</v>
      </c>
      <c r="C16" s="40" t="s">
        <v>177</v>
      </c>
      <c r="D16" s="40" t="s">
        <v>220</v>
      </c>
      <c r="E16" s="43" t="s">
        <v>100</v>
      </c>
      <c r="F16" s="40" t="s">
        <v>154</v>
      </c>
      <c r="G16" s="184">
        <v>9</v>
      </c>
      <c r="H16" s="40">
        <v>9</v>
      </c>
      <c r="I16" s="40"/>
      <c r="J16" s="40" t="s">
        <v>127</v>
      </c>
      <c r="K16" s="173">
        <v>51</v>
      </c>
      <c r="L16" s="239">
        <v>100</v>
      </c>
      <c r="M16" s="4">
        <f t="shared" si="1"/>
        <v>0.51</v>
      </c>
      <c r="N16" s="40" t="s">
        <v>58</v>
      </c>
      <c r="O16" s="40" t="s">
        <v>76</v>
      </c>
      <c r="P16" s="22" t="s">
        <v>22</v>
      </c>
      <c r="Q16" s="142"/>
    </row>
    <row r="17" spans="1:17">
      <c r="A17" s="43">
        <v>16</v>
      </c>
      <c r="B17" s="22" t="s">
        <v>222</v>
      </c>
      <c r="C17" s="40" t="s">
        <v>177</v>
      </c>
      <c r="D17" s="40" t="s">
        <v>223</v>
      </c>
      <c r="E17" s="43" t="s">
        <v>100</v>
      </c>
      <c r="F17" s="40" t="s">
        <v>154</v>
      </c>
      <c r="G17" s="184">
        <v>9</v>
      </c>
      <c r="H17" s="40">
        <v>9</v>
      </c>
      <c r="I17" s="40"/>
      <c r="J17" s="40" t="s">
        <v>127</v>
      </c>
      <c r="K17" s="173">
        <v>41</v>
      </c>
      <c r="L17" s="239">
        <v>100</v>
      </c>
      <c r="M17" s="4">
        <f t="shared" si="1"/>
        <v>0.41</v>
      </c>
      <c r="N17" s="40" t="s">
        <v>58</v>
      </c>
      <c r="O17" s="40" t="s">
        <v>76</v>
      </c>
      <c r="P17" s="22" t="s">
        <v>22</v>
      </c>
      <c r="Q17" s="142"/>
    </row>
    <row r="18" spans="1:17">
      <c r="A18" s="43">
        <v>17</v>
      </c>
      <c r="B18" s="22" t="s">
        <v>234</v>
      </c>
      <c r="C18" s="40" t="s">
        <v>225</v>
      </c>
      <c r="D18" s="40" t="s">
        <v>235</v>
      </c>
      <c r="E18" s="43" t="s">
        <v>100</v>
      </c>
      <c r="F18" s="40" t="s">
        <v>154</v>
      </c>
      <c r="G18" s="184">
        <v>9</v>
      </c>
      <c r="H18" s="40">
        <v>9</v>
      </c>
      <c r="I18" s="40"/>
      <c r="J18" s="40" t="s">
        <v>127</v>
      </c>
      <c r="K18" s="173">
        <v>22</v>
      </c>
      <c r="L18" s="239">
        <v>100</v>
      </c>
      <c r="M18" s="4">
        <f t="shared" si="1"/>
        <v>0.22</v>
      </c>
      <c r="N18" s="40" t="s">
        <v>58</v>
      </c>
      <c r="O18" s="40" t="s">
        <v>76</v>
      </c>
      <c r="P18" s="22" t="s">
        <v>22</v>
      </c>
      <c r="Q18" s="142"/>
    </row>
    <row r="19" spans="1:17">
      <c r="A19" s="43">
        <v>18</v>
      </c>
      <c r="B19" s="108" t="s">
        <v>706</v>
      </c>
      <c r="C19" s="103" t="s">
        <v>180</v>
      </c>
      <c r="D19" s="103" t="s">
        <v>398</v>
      </c>
      <c r="E19" s="107" t="s">
        <v>99</v>
      </c>
      <c r="F19" s="103" t="s">
        <v>154</v>
      </c>
      <c r="G19" s="191">
        <v>9</v>
      </c>
      <c r="H19" s="103">
        <v>9</v>
      </c>
      <c r="I19" s="103"/>
      <c r="J19" s="40" t="s">
        <v>127</v>
      </c>
      <c r="K19" s="267">
        <v>6</v>
      </c>
      <c r="L19" s="239">
        <v>100</v>
      </c>
      <c r="M19" s="265">
        <f t="shared" si="1"/>
        <v>0.06</v>
      </c>
      <c r="N19" s="103" t="s">
        <v>58</v>
      </c>
      <c r="O19" s="40" t="s">
        <v>76</v>
      </c>
      <c r="P19" s="108" t="s">
        <v>22</v>
      </c>
      <c r="Q19" s="142"/>
    </row>
    <row r="20" spans="1:17">
      <c r="A20" s="43">
        <v>19</v>
      </c>
      <c r="B20" s="3" t="s">
        <v>450</v>
      </c>
      <c r="C20" s="3" t="s">
        <v>458</v>
      </c>
      <c r="D20" s="3" t="s">
        <v>459</v>
      </c>
      <c r="E20" s="239" t="s">
        <v>100</v>
      </c>
      <c r="F20" s="40" t="s">
        <v>154</v>
      </c>
      <c r="G20" s="12">
        <v>11</v>
      </c>
      <c r="H20" s="12">
        <v>11</v>
      </c>
      <c r="I20" s="5"/>
      <c r="J20" s="40" t="s">
        <v>127</v>
      </c>
      <c r="K20" s="266">
        <v>62</v>
      </c>
      <c r="L20" s="239">
        <v>100</v>
      </c>
      <c r="M20" s="4">
        <f t="shared" si="1"/>
        <v>0.62</v>
      </c>
      <c r="N20" s="3" t="s">
        <v>49</v>
      </c>
      <c r="O20" s="40" t="s">
        <v>76</v>
      </c>
      <c r="P20" s="22" t="s">
        <v>22</v>
      </c>
      <c r="Q20" s="142"/>
    </row>
    <row r="21" spans="1:17">
      <c r="A21" s="43">
        <v>20</v>
      </c>
      <c r="B21" s="3" t="s">
        <v>172</v>
      </c>
      <c r="C21" s="3" t="s">
        <v>173</v>
      </c>
      <c r="D21" s="3" t="s">
        <v>174</v>
      </c>
      <c r="E21" s="239" t="s">
        <v>100</v>
      </c>
      <c r="F21" s="40" t="s">
        <v>154</v>
      </c>
      <c r="G21" s="12">
        <v>11</v>
      </c>
      <c r="H21" s="12">
        <v>11</v>
      </c>
      <c r="I21" s="5"/>
      <c r="J21" s="40" t="s">
        <v>127</v>
      </c>
      <c r="K21" s="266">
        <v>45</v>
      </c>
      <c r="L21" s="239">
        <v>100</v>
      </c>
      <c r="M21" s="4">
        <f t="shared" si="1"/>
        <v>0.45</v>
      </c>
      <c r="N21" s="3" t="s">
        <v>50</v>
      </c>
      <c r="O21" s="40" t="s">
        <v>76</v>
      </c>
      <c r="P21" s="22" t="s">
        <v>22</v>
      </c>
      <c r="Q21" s="142"/>
    </row>
    <row r="22" spans="1:17">
      <c r="A22" s="43">
        <v>21</v>
      </c>
      <c r="B22" s="3" t="s">
        <v>348</v>
      </c>
      <c r="C22" s="3" t="s">
        <v>227</v>
      </c>
      <c r="D22" s="3" t="s">
        <v>195</v>
      </c>
      <c r="E22" s="239" t="s">
        <v>100</v>
      </c>
      <c r="F22" s="40" t="s">
        <v>154</v>
      </c>
      <c r="G22" s="12">
        <v>11</v>
      </c>
      <c r="H22" s="12">
        <v>11</v>
      </c>
      <c r="I22" s="5"/>
      <c r="J22" s="40" t="s">
        <v>127</v>
      </c>
      <c r="K22" s="266">
        <v>43</v>
      </c>
      <c r="L22" s="239">
        <v>100</v>
      </c>
      <c r="M22" s="4">
        <f t="shared" si="1"/>
        <v>0.43</v>
      </c>
      <c r="N22" s="3" t="s">
        <v>58</v>
      </c>
      <c r="O22" s="40" t="s">
        <v>76</v>
      </c>
      <c r="P22" s="22" t="s">
        <v>22</v>
      </c>
      <c r="Q22" s="142"/>
    </row>
    <row r="23" spans="1:17">
      <c r="A23" s="43">
        <v>22</v>
      </c>
      <c r="B23" s="3" t="s">
        <v>351</v>
      </c>
      <c r="C23" s="3" t="s">
        <v>171</v>
      </c>
      <c r="D23" s="3" t="s">
        <v>175</v>
      </c>
      <c r="E23" s="239" t="s">
        <v>100</v>
      </c>
      <c r="F23" s="40" t="s">
        <v>154</v>
      </c>
      <c r="G23" s="12">
        <v>11</v>
      </c>
      <c r="H23" s="12">
        <v>11</v>
      </c>
      <c r="I23" s="5"/>
      <c r="J23" s="40" t="s">
        <v>127</v>
      </c>
      <c r="K23" s="266">
        <v>41</v>
      </c>
      <c r="L23" s="239">
        <v>100</v>
      </c>
      <c r="M23" s="4">
        <f t="shared" si="1"/>
        <v>0.41</v>
      </c>
      <c r="N23" s="3" t="s">
        <v>58</v>
      </c>
      <c r="O23" s="40" t="s">
        <v>76</v>
      </c>
      <c r="P23" s="22" t="s">
        <v>22</v>
      </c>
      <c r="Q23" s="142"/>
    </row>
    <row r="24" spans="1:17">
      <c r="A24" s="43">
        <v>23</v>
      </c>
      <c r="B24" s="3" t="s">
        <v>707</v>
      </c>
      <c r="C24" s="3" t="s">
        <v>225</v>
      </c>
      <c r="D24" s="3" t="s">
        <v>175</v>
      </c>
      <c r="E24" s="239" t="s">
        <v>100</v>
      </c>
      <c r="F24" s="40" t="s">
        <v>465</v>
      </c>
      <c r="G24" s="12">
        <v>11</v>
      </c>
      <c r="H24" s="12">
        <v>11</v>
      </c>
      <c r="I24" s="5"/>
      <c r="J24" s="40" t="s">
        <v>127</v>
      </c>
      <c r="K24" s="266">
        <v>41</v>
      </c>
      <c r="L24" s="239">
        <v>100</v>
      </c>
      <c r="M24" s="4">
        <f t="shared" ref="M24:M25" si="2">K24/L24</f>
        <v>0.41</v>
      </c>
      <c r="N24" s="3" t="s">
        <v>58</v>
      </c>
      <c r="O24" s="40" t="s">
        <v>76</v>
      </c>
      <c r="P24" s="22" t="s">
        <v>22</v>
      </c>
      <c r="Q24" s="142"/>
    </row>
    <row r="25" spans="1:17">
      <c r="A25" s="43">
        <v>24</v>
      </c>
      <c r="B25" s="3" t="s">
        <v>592</v>
      </c>
      <c r="C25" s="3" t="s">
        <v>237</v>
      </c>
      <c r="D25" s="3" t="s">
        <v>519</v>
      </c>
      <c r="E25" s="239" t="s">
        <v>100</v>
      </c>
      <c r="F25" s="40" t="s">
        <v>466</v>
      </c>
      <c r="G25" s="12">
        <v>11</v>
      </c>
      <c r="H25" s="12">
        <v>11</v>
      </c>
      <c r="I25" s="5"/>
      <c r="J25" s="40" t="s">
        <v>127</v>
      </c>
      <c r="K25" s="266">
        <v>41</v>
      </c>
      <c r="L25" s="239">
        <v>100</v>
      </c>
      <c r="M25" s="4">
        <f t="shared" si="2"/>
        <v>0.41</v>
      </c>
      <c r="N25" s="3" t="s">
        <v>58</v>
      </c>
      <c r="O25" s="40" t="s">
        <v>76</v>
      </c>
      <c r="P25" s="22" t="s">
        <v>22</v>
      </c>
      <c r="Q25" s="142"/>
    </row>
    <row r="26" spans="1:17">
      <c r="A26" s="72"/>
      <c r="B26" s="72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2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2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/>
  <dimension ref="A1:Q103"/>
  <sheetViews>
    <sheetView topLeftCell="A74" workbookViewId="0">
      <selection activeCell="H19" sqref="H19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3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95" t="s">
        <v>0</v>
      </c>
      <c r="C1" s="95" t="s">
        <v>1</v>
      </c>
      <c r="D1" s="95" t="s">
        <v>2</v>
      </c>
      <c r="E1" s="16" t="s">
        <v>85</v>
      </c>
      <c r="F1" s="17" t="s">
        <v>98</v>
      </c>
      <c r="G1" s="95" t="s">
        <v>3</v>
      </c>
      <c r="H1" s="95" t="s">
        <v>106</v>
      </c>
      <c r="I1" s="16" t="s">
        <v>26</v>
      </c>
      <c r="J1" s="16" t="s">
        <v>125</v>
      </c>
      <c r="K1" s="95" t="s">
        <v>4</v>
      </c>
      <c r="L1" s="96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631</v>
      </c>
      <c r="C2" s="40" t="s">
        <v>173</v>
      </c>
      <c r="D2" s="40" t="s">
        <v>313</v>
      </c>
      <c r="E2" s="43" t="s">
        <v>100</v>
      </c>
      <c r="F2" s="40" t="s">
        <v>154</v>
      </c>
      <c r="G2" s="184">
        <v>4</v>
      </c>
      <c r="H2" s="184">
        <v>4</v>
      </c>
      <c r="I2" s="40"/>
      <c r="J2" s="40" t="s">
        <v>127</v>
      </c>
      <c r="K2" s="173">
        <v>28</v>
      </c>
      <c r="L2" s="40">
        <v>35</v>
      </c>
      <c r="M2" s="4">
        <f t="shared" ref="M2:M21" si="0">K2/L2</f>
        <v>0.8</v>
      </c>
      <c r="N2" s="40" t="s">
        <v>49</v>
      </c>
      <c r="O2" s="40" t="s">
        <v>76</v>
      </c>
      <c r="P2" s="22" t="s">
        <v>10</v>
      </c>
      <c r="Q2" s="142"/>
    </row>
    <row r="3" spans="1:17">
      <c r="A3" s="43">
        <v>2</v>
      </c>
      <c r="B3" s="40" t="s">
        <v>686</v>
      </c>
      <c r="C3" s="40" t="s">
        <v>218</v>
      </c>
      <c r="D3" s="40" t="s">
        <v>186</v>
      </c>
      <c r="E3" s="43" t="s">
        <v>99</v>
      </c>
      <c r="F3" s="40" t="s">
        <v>154</v>
      </c>
      <c r="G3" s="184">
        <v>4</v>
      </c>
      <c r="H3" s="184">
        <v>4</v>
      </c>
      <c r="I3" s="40"/>
      <c r="J3" s="40" t="s">
        <v>127</v>
      </c>
      <c r="K3" s="173">
        <v>16</v>
      </c>
      <c r="L3" s="40">
        <v>35</v>
      </c>
      <c r="M3" s="4">
        <f t="shared" si="0"/>
        <v>0.45714285714285713</v>
      </c>
      <c r="N3" s="40" t="s">
        <v>50</v>
      </c>
      <c r="O3" s="40" t="s">
        <v>76</v>
      </c>
      <c r="P3" s="22" t="s">
        <v>10</v>
      </c>
      <c r="Q3" s="142"/>
    </row>
    <row r="4" spans="1:17">
      <c r="A4" s="215">
        <v>3</v>
      </c>
      <c r="B4" s="22" t="s">
        <v>687</v>
      </c>
      <c r="C4" s="40" t="s">
        <v>688</v>
      </c>
      <c r="D4" s="40" t="s">
        <v>216</v>
      </c>
      <c r="E4" s="43" t="s">
        <v>99</v>
      </c>
      <c r="F4" s="40" t="s">
        <v>154</v>
      </c>
      <c r="G4" s="184">
        <v>4</v>
      </c>
      <c r="H4" s="184">
        <v>4</v>
      </c>
      <c r="I4" s="40"/>
      <c r="J4" s="40" t="s">
        <v>127</v>
      </c>
      <c r="K4" s="173">
        <v>10</v>
      </c>
      <c r="L4" s="40">
        <v>35</v>
      </c>
      <c r="M4" s="4">
        <f t="shared" si="0"/>
        <v>0.2857142857142857</v>
      </c>
      <c r="N4" s="40" t="s">
        <v>58</v>
      </c>
      <c r="O4" s="40" t="s">
        <v>76</v>
      </c>
      <c r="P4" s="22" t="s">
        <v>10</v>
      </c>
      <c r="Q4" s="142"/>
    </row>
    <row r="5" spans="1:17">
      <c r="A5" s="215">
        <v>4</v>
      </c>
      <c r="B5" s="22" t="s">
        <v>629</v>
      </c>
      <c r="C5" s="40" t="s">
        <v>207</v>
      </c>
      <c r="D5" s="40" t="s">
        <v>220</v>
      </c>
      <c r="E5" s="43" t="s">
        <v>100</v>
      </c>
      <c r="F5" s="40" t="s">
        <v>154</v>
      </c>
      <c r="G5" s="184">
        <v>4</v>
      </c>
      <c r="H5" s="184">
        <v>4</v>
      </c>
      <c r="I5" s="40"/>
      <c r="J5" s="40" t="s">
        <v>127</v>
      </c>
      <c r="K5" s="173">
        <v>8</v>
      </c>
      <c r="L5" s="40">
        <v>35</v>
      </c>
      <c r="M5" s="4">
        <f t="shared" si="0"/>
        <v>0.22857142857142856</v>
      </c>
      <c r="N5" s="40" t="s">
        <v>58</v>
      </c>
      <c r="O5" s="40" t="s">
        <v>76</v>
      </c>
      <c r="P5" s="22" t="s">
        <v>10</v>
      </c>
      <c r="Q5" s="142"/>
    </row>
    <row r="6" spans="1:17">
      <c r="A6" s="215">
        <v>5</v>
      </c>
      <c r="B6" s="22" t="s">
        <v>609</v>
      </c>
      <c r="C6" s="40" t="s">
        <v>610</v>
      </c>
      <c r="D6" s="40" t="s">
        <v>611</v>
      </c>
      <c r="E6" s="43" t="s">
        <v>99</v>
      </c>
      <c r="F6" s="40" t="s">
        <v>154</v>
      </c>
      <c r="G6" s="184">
        <v>4</v>
      </c>
      <c r="H6" s="184">
        <v>4</v>
      </c>
      <c r="I6" s="40"/>
      <c r="J6" s="40" t="s">
        <v>127</v>
      </c>
      <c r="K6" s="173">
        <v>7</v>
      </c>
      <c r="L6" s="40">
        <v>35</v>
      </c>
      <c r="M6" s="4">
        <f t="shared" si="0"/>
        <v>0.2</v>
      </c>
      <c r="N6" s="40" t="s">
        <v>58</v>
      </c>
      <c r="O6" s="40" t="s">
        <v>76</v>
      </c>
      <c r="P6" s="22" t="s">
        <v>10</v>
      </c>
      <c r="Q6" s="142"/>
    </row>
    <row r="7" spans="1:17">
      <c r="A7" s="215">
        <v>6</v>
      </c>
      <c r="B7" s="22" t="s">
        <v>639</v>
      </c>
      <c r="C7" s="40" t="s">
        <v>227</v>
      </c>
      <c r="D7" s="40" t="s">
        <v>519</v>
      </c>
      <c r="E7" s="43" t="s">
        <v>100</v>
      </c>
      <c r="F7" s="40" t="s">
        <v>154</v>
      </c>
      <c r="G7" s="184">
        <v>4</v>
      </c>
      <c r="H7" s="184">
        <v>4</v>
      </c>
      <c r="I7" s="40"/>
      <c r="J7" s="40" t="s">
        <v>127</v>
      </c>
      <c r="K7" s="173">
        <v>7</v>
      </c>
      <c r="L7" s="40">
        <v>35</v>
      </c>
      <c r="M7" s="4">
        <f t="shared" si="0"/>
        <v>0.2</v>
      </c>
      <c r="N7" s="40" t="s">
        <v>58</v>
      </c>
      <c r="O7" s="40" t="s">
        <v>76</v>
      </c>
      <c r="P7" s="22" t="s">
        <v>10</v>
      </c>
      <c r="Q7" s="142"/>
    </row>
    <row r="8" spans="1:17">
      <c r="A8" s="215">
        <v>7</v>
      </c>
      <c r="B8" s="22" t="s">
        <v>621</v>
      </c>
      <c r="C8" s="40" t="s">
        <v>501</v>
      </c>
      <c r="D8" s="40" t="s">
        <v>319</v>
      </c>
      <c r="E8" s="43" t="s">
        <v>99</v>
      </c>
      <c r="F8" s="40" t="s">
        <v>154</v>
      </c>
      <c r="G8" s="184">
        <v>4</v>
      </c>
      <c r="H8" s="184">
        <v>4</v>
      </c>
      <c r="I8" s="40"/>
      <c r="J8" s="40" t="s">
        <v>127</v>
      </c>
      <c r="K8" s="173">
        <v>7</v>
      </c>
      <c r="L8" s="40">
        <v>35</v>
      </c>
      <c r="M8" s="4">
        <f t="shared" si="0"/>
        <v>0.2</v>
      </c>
      <c r="N8" s="40" t="s">
        <v>58</v>
      </c>
      <c r="O8" s="40" t="s">
        <v>76</v>
      </c>
      <c r="P8" s="22" t="s">
        <v>10</v>
      </c>
      <c r="Q8" s="142"/>
    </row>
    <row r="9" spans="1:17">
      <c r="A9" s="215">
        <v>8</v>
      </c>
      <c r="B9" s="22" t="s">
        <v>689</v>
      </c>
      <c r="C9" s="40" t="s">
        <v>177</v>
      </c>
      <c r="D9" s="40" t="s">
        <v>472</v>
      </c>
      <c r="E9" s="43" t="s">
        <v>100</v>
      </c>
      <c r="F9" s="40" t="s">
        <v>154</v>
      </c>
      <c r="G9" s="184">
        <v>4</v>
      </c>
      <c r="H9" s="184">
        <v>4</v>
      </c>
      <c r="I9" s="40"/>
      <c r="J9" s="40" t="s">
        <v>127</v>
      </c>
      <c r="K9" s="173">
        <v>7</v>
      </c>
      <c r="L9" s="40">
        <v>35</v>
      </c>
      <c r="M9" s="4">
        <f t="shared" si="0"/>
        <v>0.2</v>
      </c>
      <c r="N9" s="40" t="s">
        <v>58</v>
      </c>
      <c r="O9" s="40" t="s">
        <v>76</v>
      </c>
      <c r="P9" s="22" t="s">
        <v>10</v>
      </c>
      <c r="Q9" s="142"/>
    </row>
    <row r="10" spans="1:17">
      <c r="A10" s="215">
        <v>9</v>
      </c>
      <c r="B10" s="22" t="s">
        <v>690</v>
      </c>
      <c r="C10" s="40" t="s">
        <v>200</v>
      </c>
      <c r="D10" s="40" t="s">
        <v>313</v>
      </c>
      <c r="E10" s="43" t="s">
        <v>100</v>
      </c>
      <c r="F10" s="40" t="s">
        <v>154</v>
      </c>
      <c r="G10" s="184">
        <v>4</v>
      </c>
      <c r="H10" s="184">
        <v>4</v>
      </c>
      <c r="I10" s="40"/>
      <c r="J10" s="40" t="s">
        <v>127</v>
      </c>
      <c r="K10" s="173">
        <v>7</v>
      </c>
      <c r="L10" s="40">
        <v>35</v>
      </c>
      <c r="M10" s="4">
        <f t="shared" si="0"/>
        <v>0.2</v>
      </c>
      <c r="N10" s="40" t="s">
        <v>58</v>
      </c>
      <c r="O10" s="40" t="s">
        <v>76</v>
      </c>
      <c r="P10" s="22" t="s">
        <v>10</v>
      </c>
      <c r="Q10" s="142"/>
    </row>
    <row r="11" spans="1:17">
      <c r="A11" s="215">
        <v>10</v>
      </c>
      <c r="B11" s="22" t="s">
        <v>630</v>
      </c>
      <c r="C11" s="40" t="s">
        <v>501</v>
      </c>
      <c r="D11" s="40" t="s">
        <v>246</v>
      </c>
      <c r="E11" s="43" t="s">
        <v>99</v>
      </c>
      <c r="F11" s="40" t="s">
        <v>154</v>
      </c>
      <c r="G11" s="184">
        <v>4</v>
      </c>
      <c r="H11" s="184">
        <v>4</v>
      </c>
      <c r="I11" s="40"/>
      <c r="J11" s="40" t="s">
        <v>127</v>
      </c>
      <c r="K11" s="173">
        <v>7</v>
      </c>
      <c r="L11" s="40">
        <v>35</v>
      </c>
      <c r="M11" s="4">
        <f t="shared" si="0"/>
        <v>0.2</v>
      </c>
      <c r="N11" s="40" t="s">
        <v>58</v>
      </c>
      <c r="O11" s="40" t="s">
        <v>76</v>
      </c>
      <c r="P11" s="22" t="s">
        <v>10</v>
      </c>
      <c r="Q11" s="142"/>
    </row>
    <row r="12" spans="1:17">
      <c r="A12" s="215">
        <v>11</v>
      </c>
      <c r="B12" s="22" t="s">
        <v>691</v>
      </c>
      <c r="C12" s="40" t="s">
        <v>367</v>
      </c>
      <c r="D12" s="40" t="s">
        <v>213</v>
      </c>
      <c r="E12" s="43" t="s">
        <v>99</v>
      </c>
      <c r="F12" s="40" t="s">
        <v>154</v>
      </c>
      <c r="G12" s="184">
        <v>4</v>
      </c>
      <c r="H12" s="184">
        <v>4</v>
      </c>
      <c r="I12" s="40"/>
      <c r="J12" s="40" t="s">
        <v>127</v>
      </c>
      <c r="K12" s="173">
        <v>7</v>
      </c>
      <c r="L12" s="40">
        <v>35</v>
      </c>
      <c r="M12" s="4">
        <f t="shared" si="0"/>
        <v>0.2</v>
      </c>
      <c r="N12" s="40" t="s">
        <v>58</v>
      </c>
      <c r="O12" s="40" t="s">
        <v>76</v>
      </c>
      <c r="P12" s="22" t="s">
        <v>10</v>
      </c>
      <c r="Q12" s="142"/>
    </row>
    <row r="13" spans="1:17">
      <c r="A13" s="215">
        <v>12</v>
      </c>
      <c r="B13" s="22" t="s">
        <v>622</v>
      </c>
      <c r="C13" s="40" t="s">
        <v>380</v>
      </c>
      <c r="D13" s="40" t="s">
        <v>235</v>
      </c>
      <c r="E13" s="43" t="s">
        <v>100</v>
      </c>
      <c r="F13" s="40" t="s">
        <v>154</v>
      </c>
      <c r="G13" s="184">
        <v>4</v>
      </c>
      <c r="H13" s="184">
        <v>4</v>
      </c>
      <c r="I13" s="40"/>
      <c r="J13" s="40" t="s">
        <v>127</v>
      </c>
      <c r="K13" s="173">
        <v>4</v>
      </c>
      <c r="L13" s="40">
        <v>35</v>
      </c>
      <c r="M13" s="4">
        <f t="shared" si="0"/>
        <v>0.11428571428571428</v>
      </c>
      <c r="N13" s="40" t="s">
        <v>58</v>
      </c>
      <c r="O13" s="40" t="s">
        <v>76</v>
      </c>
      <c r="P13" s="22" t="s">
        <v>10</v>
      </c>
      <c r="Q13" s="142"/>
    </row>
    <row r="14" spans="1:17">
      <c r="A14" s="215">
        <v>13</v>
      </c>
      <c r="B14" s="22" t="s">
        <v>605</v>
      </c>
      <c r="C14" s="40" t="s">
        <v>420</v>
      </c>
      <c r="D14" s="40" t="s">
        <v>568</v>
      </c>
      <c r="E14" s="43" t="s">
        <v>100</v>
      </c>
      <c r="F14" s="40" t="s">
        <v>154</v>
      </c>
      <c r="G14" s="184">
        <v>4</v>
      </c>
      <c r="H14" s="184">
        <v>4</v>
      </c>
      <c r="I14" s="40"/>
      <c r="J14" s="40" t="s">
        <v>127</v>
      </c>
      <c r="K14" s="173">
        <v>4</v>
      </c>
      <c r="L14" s="40">
        <v>35</v>
      </c>
      <c r="M14" s="4">
        <f t="shared" si="0"/>
        <v>0.11428571428571428</v>
      </c>
      <c r="N14" s="40" t="s">
        <v>58</v>
      </c>
      <c r="O14" s="40" t="s">
        <v>76</v>
      </c>
      <c r="P14" s="22" t="s">
        <v>10</v>
      </c>
      <c r="Q14" s="142"/>
    </row>
    <row r="15" spans="1:17">
      <c r="A15" s="215">
        <v>14</v>
      </c>
      <c r="B15" s="22" t="s">
        <v>692</v>
      </c>
      <c r="C15" s="40" t="s">
        <v>173</v>
      </c>
      <c r="D15" s="40" t="s">
        <v>393</v>
      </c>
      <c r="E15" s="43" t="s">
        <v>100</v>
      </c>
      <c r="F15" s="40" t="s">
        <v>154</v>
      </c>
      <c r="G15" s="184">
        <v>4</v>
      </c>
      <c r="H15" s="184">
        <v>4</v>
      </c>
      <c r="I15" s="40"/>
      <c r="J15" s="40" t="s">
        <v>127</v>
      </c>
      <c r="K15" s="173">
        <v>2</v>
      </c>
      <c r="L15" s="40">
        <v>35</v>
      </c>
      <c r="M15" s="4">
        <f t="shared" si="0"/>
        <v>5.7142857142857141E-2</v>
      </c>
      <c r="N15" s="40" t="s">
        <v>58</v>
      </c>
      <c r="O15" s="40" t="s">
        <v>76</v>
      </c>
      <c r="P15" s="22" t="s">
        <v>10</v>
      </c>
      <c r="Q15" s="142"/>
    </row>
    <row r="16" spans="1:17">
      <c r="A16" s="215">
        <v>15</v>
      </c>
      <c r="B16" s="97" t="s">
        <v>693</v>
      </c>
      <c r="C16" s="97" t="s">
        <v>272</v>
      </c>
      <c r="D16" s="97" t="s">
        <v>502</v>
      </c>
      <c r="E16" s="182" t="s">
        <v>99</v>
      </c>
      <c r="F16" s="40" t="s">
        <v>154</v>
      </c>
      <c r="G16" s="184">
        <v>4</v>
      </c>
      <c r="H16" s="184">
        <v>4</v>
      </c>
      <c r="I16" s="5"/>
      <c r="J16" s="40" t="s">
        <v>127</v>
      </c>
      <c r="K16" s="257">
        <v>1</v>
      </c>
      <c r="L16" s="40">
        <v>35</v>
      </c>
      <c r="M16" s="99">
        <f t="shared" si="0"/>
        <v>2.8571428571428571E-2</v>
      </c>
      <c r="N16" s="40" t="s">
        <v>58</v>
      </c>
      <c r="O16" s="40" t="s">
        <v>76</v>
      </c>
      <c r="P16" s="22" t="s">
        <v>10</v>
      </c>
      <c r="Q16" s="142"/>
    </row>
    <row r="17" spans="1:17">
      <c r="A17" s="215">
        <v>16</v>
      </c>
      <c r="B17" s="97" t="s">
        <v>694</v>
      </c>
      <c r="C17" s="97" t="s">
        <v>469</v>
      </c>
      <c r="D17" s="97" t="s">
        <v>695</v>
      </c>
      <c r="E17" s="182" t="s">
        <v>100</v>
      </c>
      <c r="F17" s="40" t="s">
        <v>154</v>
      </c>
      <c r="G17" s="184">
        <v>4</v>
      </c>
      <c r="H17" s="184">
        <v>4</v>
      </c>
      <c r="I17" s="5"/>
      <c r="J17" s="40" t="s">
        <v>127</v>
      </c>
      <c r="K17" s="257">
        <v>0</v>
      </c>
      <c r="L17" s="40">
        <v>35</v>
      </c>
      <c r="M17" s="99">
        <f t="shared" si="0"/>
        <v>0</v>
      </c>
      <c r="N17" s="40" t="s">
        <v>58</v>
      </c>
      <c r="O17" s="40" t="s">
        <v>76</v>
      </c>
      <c r="P17" s="22" t="s">
        <v>10</v>
      </c>
      <c r="Q17" s="142"/>
    </row>
    <row r="18" spans="1:17">
      <c r="A18" s="215">
        <v>17</v>
      </c>
      <c r="B18" s="97" t="s">
        <v>618</v>
      </c>
      <c r="C18" s="97" t="s">
        <v>619</v>
      </c>
      <c r="D18" s="97" t="s">
        <v>186</v>
      </c>
      <c r="E18" s="182" t="s">
        <v>99</v>
      </c>
      <c r="F18" s="40" t="s">
        <v>154</v>
      </c>
      <c r="G18" s="184">
        <v>4</v>
      </c>
      <c r="H18" s="184">
        <v>4</v>
      </c>
      <c r="I18" s="5"/>
      <c r="J18" s="40" t="s">
        <v>127</v>
      </c>
      <c r="K18" s="257">
        <v>0</v>
      </c>
      <c r="L18" s="40">
        <v>35</v>
      </c>
      <c r="M18" s="99">
        <f t="shared" si="0"/>
        <v>0</v>
      </c>
      <c r="N18" s="40" t="s">
        <v>58</v>
      </c>
      <c r="O18" s="40" t="s">
        <v>76</v>
      </c>
      <c r="P18" s="22" t="s">
        <v>10</v>
      </c>
      <c r="Q18" s="142"/>
    </row>
    <row r="19" spans="1:17">
      <c r="A19" s="260">
        <v>18</v>
      </c>
      <c r="B19" s="118" t="s">
        <v>628</v>
      </c>
      <c r="C19" s="118" t="s">
        <v>696</v>
      </c>
      <c r="D19" s="118" t="s">
        <v>357</v>
      </c>
      <c r="E19" s="183" t="s">
        <v>99</v>
      </c>
      <c r="F19" s="40" t="s">
        <v>154</v>
      </c>
      <c r="G19" s="184">
        <v>4</v>
      </c>
      <c r="H19" s="184">
        <v>4</v>
      </c>
      <c r="I19" s="5"/>
      <c r="J19" s="40" t="s">
        <v>127</v>
      </c>
      <c r="K19" s="258">
        <v>0</v>
      </c>
      <c r="L19" s="258">
        <v>35</v>
      </c>
      <c r="M19" s="99">
        <f t="shared" si="0"/>
        <v>0</v>
      </c>
      <c r="N19" s="40" t="s">
        <v>58</v>
      </c>
      <c r="O19" s="40" t="s">
        <v>76</v>
      </c>
      <c r="P19" s="108" t="s">
        <v>10</v>
      </c>
      <c r="Q19" s="142"/>
    </row>
    <row r="20" spans="1:17">
      <c r="A20" s="12">
        <v>19</v>
      </c>
      <c r="B20" s="97" t="s">
        <v>616</v>
      </c>
      <c r="C20" s="97" t="s">
        <v>367</v>
      </c>
      <c r="D20" s="97" t="s">
        <v>617</v>
      </c>
      <c r="E20" s="178" t="s">
        <v>99</v>
      </c>
      <c r="F20" s="40" t="s">
        <v>154</v>
      </c>
      <c r="G20" s="184">
        <v>4</v>
      </c>
      <c r="H20" s="184">
        <v>4</v>
      </c>
      <c r="I20" s="47"/>
      <c r="J20" s="40" t="s">
        <v>127</v>
      </c>
      <c r="K20" s="256">
        <v>0</v>
      </c>
      <c r="L20" s="257">
        <v>35</v>
      </c>
      <c r="M20" s="99">
        <f t="shared" si="0"/>
        <v>0</v>
      </c>
      <c r="N20" s="40" t="s">
        <v>58</v>
      </c>
      <c r="O20" s="40" t="s">
        <v>76</v>
      </c>
      <c r="P20" s="22" t="s">
        <v>10</v>
      </c>
      <c r="Q20" s="142"/>
    </row>
    <row r="21" spans="1:17">
      <c r="A21" s="12">
        <v>20</v>
      </c>
      <c r="B21" s="97" t="s">
        <v>632</v>
      </c>
      <c r="C21" s="97" t="s">
        <v>513</v>
      </c>
      <c r="D21" s="97" t="s">
        <v>507</v>
      </c>
      <c r="E21" s="239" t="s">
        <v>99</v>
      </c>
      <c r="F21" s="40" t="s">
        <v>154</v>
      </c>
      <c r="G21" s="184">
        <v>4</v>
      </c>
      <c r="H21" s="184">
        <v>4</v>
      </c>
      <c r="I21" s="5"/>
      <c r="J21" s="40" t="s">
        <v>127</v>
      </c>
      <c r="K21" s="257">
        <v>0</v>
      </c>
      <c r="L21" s="257">
        <v>35</v>
      </c>
      <c r="M21" s="4">
        <f t="shared" si="0"/>
        <v>0</v>
      </c>
      <c r="N21" s="40" t="s">
        <v>58</v>
      </c>
      <c r="O21" s="142" t="s">
        <v>76</v>
      </c>
      <c r="P21" s="22" t="s">
        <v>10</v>
      </c>
      <c r="Q21" s="142"/>
    </row>
    <row r="22" spans="1:17">
      <c r="A22" s="12">
        <v>21</v>
      </c>
      <c r="B22" s="97" t="s">
        <v>601</v>
      </c>
      <c r="C22" s="97" t="s">
        <v>602</v>
      </c>
      <c r="D22" s="97" t="s">
        <v>313</v>
      </c>
      <c r="E22" s="239" t="s">
        <v>100</v>
      </c>
      <c r="F22" s="40" t="s">
        <v>154</v>
      </c>
      <c r="G22" s="184">
        <v>4</v>
      </c>
      <c r="H22" s="184">
        <v>4</v>
      </c>
      <c r="I22" s="5"/>
      <c r="J22" s="40" t="s">
        <v>127</v>
      </c>
      <c r="K22" s="257">
        <v>0</v>
      </c>
      <c r="L22" s="257">
        <v>35</v>
      </c>
      <c r="M22" s="4">
        <v>0</v>
      </c>
      <c r="N22" s="40" t="s">
        <v>58</v>
      </c>
      <c r="O22" s="142" t="s">
        <v>76</v>
      </c>
      <c r="P22" s="22" t="s">
        <v>10</v>
      </c>
      <c r="Q22" s="142"/>
    </row>
    <row r="23" spans="1:17">
      <c r="A23" s="12">
        <v>22</v>
      </c>
      <c r="B23" s="97" t="s">
        <v>625</v>
      </c>
      <c r="C23" s="97" t="s">
        <v>626</v>
      </c>
      <c r="D23" s="97" t="s">
        <v>627</v>
      </c>
      <c r="E23" s="239" t="s">
        <v>100</v>
      </c>
      <c r="F23" s="40" t="s">
        <v>154</v>
      </c>
      <c r="G23" s="184">
        <v>4</v>
      </c>
      <c r="H23" s="184">
        <v>4</v>
      </c>
      <c r="I23" s="5"/>
      <c r="J23" s="40" t="s">
        <v>127</v>
      </c>
      <c r="K23" s="257">
        <v>0</v>
      </c>
      <c r="L23" s="257">
        <v>35</v>
      </c>
      <c r="M23" s="4">
        <v>0</v>
      </c>
      <c r="N23" s="40" t="s">
        <v>58</v>
      </c>
      <c r="O23" s="142" t="s">
        <v>76</v>
      </c>
      <c r="P23" s="22" t="s">
        <v>10</v>
      </c>
      <c r="Q23" s="142"/>
    </row>
    <row r="24" spans="1:17">
      <c r="A24" s="12">
        <v>23</v>
      </c>
      <c r="B24" s="97" t="s">
        <v>606</v>
      </c>
      <c r="C24" s="97" t="s">
        <v>607</v>
      </c>
      <c r="D24" s="97" t="s">
        <v>205</v>
      </c>
      <c r="E24" s="239" t="s">
        <v>100</v>
      </c>
      <c r="F24" s="40" t="s">
        <v>154</v>
      </c>
      <c r="G24" s="184">
        <v>4</v>
      </c>
      <c r="H24" s="184">
        <v>4</v>
      </c>
      <c r="I24" s="5"/>
      <c r="J24" s="40" t="s">
        <v>127</v>
      </c>
      <c r="K24" s="257">
        <v>0</v>
      </c>
      <c r="L24" s="257">
        <v>35</v>
      </c>
      <c r="M24" s="4">
        <v>0</v>
      </c>
      <c r="N24" s="40" t="s">
        <v>58</v>
      </c>
      <c r="O24" s="142" t="s">
        <v>76</v>
      </c>
      <c r="P24" s="22" t="s">
        <v>10</v>
      </c>
      <c r="Q24" s="142"/>
    </row>
    <row r="25" spans="1:17">
      <c r="A25" s="12">
        <v>24</v>
      </c>
      <c r="B25" s="97" t="s">
        <v>697</v>
      </c>
      <c r="C25" s="97" t="s">
        <v>637</v>
      </c>
      <c r="D25" s="97" t="s">
        <v>698</v>
      </c>
      <c r="E25" s="239" t="s">
        <v>99</v>
      </c>
      <c r="F25" s="40" t="s">
        <v>154</v>
      </c>
      <c r="G25" s="184">
        <v>4</v>
      </c>
      <c r="H25" s="184">
        <v>4</v>
      </c>
      <c r="I25" s="5"/>
      <c r="J25" s="40" t="s">
        <v>127</v>
      </c>
      <c r="K25" s="257">
        <v>0</v>
      </c>
      <c r="L25" s="257">
        <v>35</v>
      </c>
      <c r="M25" s="4">
        <v>0</v>
      </c>
      <c r="N25" s="40" t="s">
        <v>58</v>
      </c>
      <c r="O25" s="142" t="s">
        <v>76</v>
      </c>
      <c r="P25" s="22" t="s">
        <v>10</v>
      </c>
      <c r="Q25" s="142"/>
    </row>
    <row r="26" spans="1:17">
      <c r="A26" s="12">
        <v>25</v>
      </c>
      <c r="B26" s="97" t="s">
        <v>633</v>
      </c>
      <c r="C26" s="97" t="s">
        <v>634</v>
      </c>
      <c r="D26" s="97" t="s">
        <v>699</v>
      </c>
      <c r="E26" s="239" t="s">
        <v>100</v>
      </c>
      <c r="F26" s="40" t="s">
        <v>154</v>
      </c>
      <c r="G26" s="184">
        <v>4</v>
      </c>
      <c r="H26" s="184">
        <v>4</v>
      </c>
      <c r="I26" s="5"/>
      <c r="J26" s="40" t="s">
        <v>127</v>
      </c>
      <c r="K26" s="257">
        <v>0</v>
      </c>
      <c r="L26" s="257">
        <v>35</v>
      </c>
      <c r="M26" s="4">
        <v>0</v>
      </c>
      <c r="N26" s="40" t="s">
        <v>58</v>
      </c>
      <c r="O26" s="142" t="s">
        <v>76</v>
      </c>
      <c r="P26" s="22" t="s">
        <v>10</v>
      </c>
      <c r="Q26" s="142"/>
    </row>
    <row r="27" spans="1:17">
      <c r="A27" s="12">
        <v>26</v>
      </c>
      <c r="B27" s="22" t="s">
        <v>685</v>
      </c>
      <c r="C27" s="40" t="s">
        <v>683</v>
      </c>
      <c r="D27" s="40" t="s">
        <v>246</v>
      </c>
      <c r="E27" s="43" t="s">
        <v>99</v>
      </c>
      <c r="F27" s="40" t="s">
        <v>154</v>
      </c>
      <c r="G27" s="184">
        <v>5</v>
      </c>
      <c r="H27" s="184">
        <v>5</v>
      </c>
      <c r="I27" s="40"/>
      <c r="J27" s="40" t="s">
        <v>127</v>
      </c>
      <c r="K27" s="173">
        <v>28</v>
      </c>
      <c r="L27" s="40">
        <v>35</v>
      </c>
      <c r="M27" s="4">
        <f t="shared" ref="M27:M69" si="1">K27/L27</f>
        <v>0.8</v>
      </c>
      <c r="N27" s="3" t="s">
        <v>49</v>
      </c>
      <c r="O27" s="142" t="s">
        <v>76</v>
      </c>
      <c r="P27" s="22" t="s">
        <v>10</v>
      </c>
      <c r="Q27" s="142"/>
    </row>
    <row r="28" spans="1:17">
      <c r="A28" s="12">
        <v>27</v>
      </c>
      <c r="B28" s="22" t="s">
        <v>557</v>
      </c>
      <c r="C28" s="40" t="s">
        <v>177</v>
      </c>
      <c r="D28" s="40" t="s">
        <v>396</v>
      </c>
      <c r="E28" s="43" t="s">
        <v>100</v>
      </c>
      <c r="F28" s="40" t="s">
        <v>154</v>
      </c>
      <c r="G28" s="184">
        <v>5</v>
      </c>
      <c r="H28" s="184">
        <v>5</v>
      </c>
      <c r="I28" s="40"/>
      <c r="J28" s="40" t="s">
        <v>127</v>
      </c>
      <c r="K28" s="173">
        <v>23</v>
      </c>
      <c r="L28" s="40">
        <v>35</v>
      </c>
      <c r="M28" s="4">
        <f t="shared" si="1"/>
        <v>0.65714285714285714</v>
      </c>
      <c r="N28" s="3" t="s">
        <v>50</v>
      </c>
      <c r="O28" s="142" t="s">
        <v>76</v>
      </c>
      <c r="P28" s="22" t="s">
        <v>10</v>
      </c>
      <c r="Q28" s="142"/>
    </row>
    <row r="29" spans="1:17">
      <c r="A29" s="12">
        <v>28</v>
      </c>
      <c r="B29" s="22" t="s">
        <v>684</v>
      </c>
      <c r="C29" s="40" t="s">
        <v>683</v>
      </c>
      <c r="D29" s="40" t="s">
        <v>334</v>
      </c>
      <c r="E29" s="43" t="s">
        <v>99</v>
      </c>
      <c r="F29" s="40" t="s">
        <v>154</v>
      </c>
      <c r="G29" s="184">
        <v>5</v>
      </c>
      <c r="H29" s="184">
        <v>5</v>
      </c>
      <c r="I29" s="40"/>
      <c r="J29" s="40" t="s">
        <v>127</v>
      </c>
      <c r="K29" s="173">
        <v>23</v>
      </c>
      <c r="L29" s="40">
        <v>35</v>
      </c>
      <c r="M29" s="4">
        <f t="shared" si="1"/>
        <v>0.65714285714285714</v>
      </c>
      <c r="N29" s="3" t="s">
        <v>50</v>
      </c>
      <c r="O29" s="142" t="s">
        <v>76</v>
      </c>
      <c r="P29" s="22" t="s">
        <v>10</v>
      </c>
      <c r="Q29" s="142"/>
    </row>
    <row r="30" spans="1:17">
      <c r="A30" s="12">
        <v>29</v>
      </c>
      <c r="B30" s="22" t="s">
        <v>479</v>
      </c>
      <c r="C30" s="40" t="s">
        <v>440</v>
      </c>
      <c r="D30" s="40" t="s">
        <v>213</v>
      </c>
      <c r="E30" s="43" t="s">
        <v>99</v>
      </c>
      <c r="F30" s="40" t="s">
        <v>154</v>
      </c>
      <c r="G30" s="184">
        <v>5</v>
      </c>
      <c r="H30" s="184">
        <v>5</v>
      </c>
      <c r="I30" s="40"/>
      <c r="J30" s="40" t="s">
        <v>127</v>
      </c>
      <c r="K30" s="173">
        <v>17</v>
      </c>
      <c r="L30" s="40">
        <v>35</v>
      </c>
      <c r="M30" s="4">
        <f t="shared" si="1"/>
        <v>0.48571428571428571</v>
      </c>
      <c r="N30" s="3" t="s">
        <v>58</v>
      </c>
      <c r="O30" s="142" t="s">
        <v>76</v>
      </c>
      <c r="P30" s="22" t="s">
        <v>10</v>
      </c>
      <c r="Q30" s="142"/>
    </row>
    <row r="31" spans="1:17">
      <c r="A31" s="12">
        <v>30</v>
      </c>
      <c r="B31" s="22" t="s">
        <v>184</v>
      </c>
      <c r="C31" s="40" t="s">
        <v>682</v>
      </c>
      <c r="D31" s="40" t="s">
        <v>186</v>
      </c>
      <c r="E31" s="43" t="s">
        <v>99</v>
      </c>
      <c r="F31" s="40" t="s">
        <v>154</v>
      </c>
      <c r="G31" s="184">
        <v>5</v>
      </c>
      <c r="H31" s="184">
        <v>5</v>
      </c>
      <c r="I31" s="40"/>
      <c r="J31" s="40" t="s">
        <v>127</v>
      </c>
      <c r="K31" s="173">
        <v>16</v>
      </c>
      <c r="L31" s="40">
        <v>35</v>
      </c>
      <c r="M31" s="4">
        <f t="shared" si="1"/>
        <v>0.45714285714285713</v>
      </c>
      <c r="N31" s="3" t="s">
        <v>58</v>
      </c>
      <c r="O31" s="142" t="s">
        <v>76</v>
      </c>
      <c r="P31" s="22" t="s">
        <v>10</v>
      </c>
      <c r="Q31" s="142"/>
    </row>
    <row r="32" spans="1:17">
      <c r="A32" s="12">
        <v>31</v>
      </c>
      <c r="B32" s="22" t="s">
        <v>179</v>
      </c>
      <c r="C32" s="40" t="s">
        <v>180</v>
      </c>
      <c r="D32" s="40" t="s">
        <v>181</v>
      </c>
      <c r="E32" s="43" t="s">
        <v>99</v>
      </c>
      <c r="F32" s="40" t="s">
        <v>154</v>
      </c>
      <c r="G32" s="184">
        <v>5</v>
      </c>
      <c r="H32" s="184">
        <v>5</v>
      </c>
      <c r="I32" s="40"/>
      <c r="J32" s="40" t="s">
        <v>127</v>
      </c>
      <c r="K32" s="173">
        <v>16</v>
      </c>
      <c r="L32" s="40">
        <v>35</v>
      </c>
      <c r="M32" s="4">
        <f t="shared" si="1"/>
        <v>0.45714285714285713</v>
      </c>
      <c r="N32" s="3" t="s">
        <v>58</v>
      </c>
      <c r="O32" s="142" t="s">
        <v>76</v>
      </c>
      <c r="P32" s="22" t="s">
        <v>10</v>
      </c>
      <c r="Q32" s="142"/>
    </row>
    <row r="33" spans="1:17">
      <c r="A33" s="12">
        <v>32</v>
      </c>
      <c r="B33" s="22" t="s">
        <v>681</v>
      </c>
      <c r="C33" s="40" t="s">
        <v>680</v>
      </c>
      <c r="D33" s="40" t="s">
        <v>679</v>
      </c>
      <c r="E33" s="43" t="s">
        <v>99</v>
      </c>
      <c r="F33" s="40" t="s">
        <v>154</v>
      </c>
      <c r="G33" s="184">
        <v>5</v>
      </c>
      <c r="H33" s="184">
        <v>5</v>
      </c>
      <c r="I33" s="40"/>
      <c r="J33" s="40" t="s">
        <v>127</v>
      </c>
      <c r="K33" s="173">
        <v>14</v>
      </c>
      <c r="L33" s="40">
        <v>35</v>
      </c>
      <c r="M33" s="4">
        <f t="shared" si="1"/>
        <v>0.4</v>
      </c>
      <c r="N33" s="3" t="s">
        <v>58</v>
      </c>
      <c r="O33" s="142" t="s">
        <v>76</v>
      </c>
      <c r="P33" s="22" t="s">
        <v>10</v>
      </c>
      <c r="Q33" s="142"/>
    </row>
    <row r="34" spans="1:17">
      <c r="A34" s="12">
        <v>33</v>
      </c>
      <c r="B34" s="97" t="s">
        <v>190</v>
      </c>
      <c r="C34" s="97" t="s">
        <v>171</v>
      </c>
      <c r="D34" s="97" t="s">
        <v>175</v>
      </c>
      <c r="E34" s="261" t="s">
        <v>100</v>
      </c>
      <c r="F34" s="40" t="s">
        <v>154</v>
      </c>
      <c r="G34" s="256">
        <v>5</v>
      </c>
      <c r="H34" s="184">
        <v>5</v>
      </c>
      <c r="I34" s="5"/>
      <c r="J34" s="40" t="s">
        <v>127</v>
      </c>
      <c r="K34" s="257">
        <v>14</v>
      </c>
      <c r="L34" s="40">
        <v>35</v>
      </c>
      <c r="M34" s="99">
        <f t="shared" si="1"/>
        <v>0.4</v>
      </c>
      <c r="N34" s="3" t="s">
        <v>58</v>
      </c>
      <c r="O34" s="142" t="s">
        <v>76</v>
      </c>
      <c r="P34" s="22" t="s">
        <v>10</v>
      </c>
      <c r="Q34" s="142"/>
    </row>
    <row r="35" spans="1:17">
      <c r="A35" s="12">
        <v>34</v>
      </c>
      <c r="B35" s="97" t="s">
        <v>187</v>
      </c>
      <c r="C35" s="97" t="s">
        <v>188</v>
      </c>
      <c r="D35" s="97" t="s">
        <v>189</v>
      </c>
      <c r="E35" s="261" t="s">
        <v>99</v>
      </c>
      <c r="F35" s="40" t="s">
        <v>154</v>
      </c>
      <c r="G35" s="256">
        <v>5</v>
      </c>
      <c r="H35" s="184">
        <v>5</v>
      </c>
      <c r="I35" s="5"/>
      <c r="J35" s="40" t="s">
        <v>127</v>
      </c>
      <c r="K35" s="257">
        <v>14</v>
      </c>
      <c r="L35" s="40">
        <v>35</v>
      </c>
      <c r="M35" s="99">
        <f t="shared" si="1"/>
        <v>0.4</v>
      </c>
      <c r="N35" s="3" t="s">
        <v>58</v>
      </c>
      <c r="O35" s="142" t="s">
        <v>76</v>
      </c>
      <c r="P35" s="22" t="s">
        <v>10</v>
      </c>
      <c r="Q35" s="142"/>
    </row>
    <row r="36" spans="1:17">
      <c r="A36" s="12">
        <v>35</v>
      </c>
      <c r="B36" s="97" t="s">
        <v>678</v>
      </c>
      <c r="C36" s="97" t="s">
        <v>287</v>
      </c>
      <c r="D36" s="97" t="s">
        <v>677</v>
      </c>
      <c r="E36" s="261" t="s">
        <v>99</v>
      </c>
      <c r="F36" s="40" t="s">
        <v>154</v>
      </c>
      <c r="G36" s="256">
        <v>5</v>
      </c>
      <c r="H36" s="184">
        <v>5</v>
      </c>
      <c r="I36" s="5"/>
      <c r="J36" s="40" t="s">
        <v>127</v>
      </c>
      <c r="K36" s="257">
        <v>11</v>
      </c>
      <c r="L36" s="40">
        <v>35</v>
      </c>
      <c r="M36" s="99">
        <f t="shared" si="1"/>
        <v>0.31428571428571428</v>
      </c>
      <c r="N36" s="3" t="s">
        <v>58</v>
      </c>
      <c r="O36" s="142" t="s">
        <v>76</v>
      </c>
      <c r="P36" s="22" t="s">
        <v>10</v>
      </c>
      <c r="Q36" s="142"/>
    </row>
    <row r="37" spans="1:17">
      <c r="A37" s="12">
        <v>36</v>
      </c>
      <c r="B37" s="118" t="s">
        <v>209</v>
      </c>
      <c r="C37" s="118" t="s">
        <v>171</v>
      </c>
      <c r="D37" s="118" t="s">
        <v>210</v>
      </c>
      <c r="E37" s="262" t="s">
        <v>100</v>
      </c>
      <c r="F37" s="40" t="s">
        <v>154</v>
      </c>
      <c r="G37" s="256">
        <v>5</v>
      </c>
      <c r="H37" s="184">
        <v>5</v>
      </c>
      <c r="I37" s="5"/>
      <c r="J37" s="40" t="s">
        <v>127</v>
      </c>
      <c r="K37" s="258">
        <v>9</v>
      </c>
      <c r="L37" s="40">
        <v>35</v>
      </c>
      <c r="M37" s="99">
        <f t="shared" si="1"/>
        <v>0.25714285714285712</v>
      </c>
      <c r="N37" s="3" t="s">
        <v>58</v>
      </c>
      <c r="O37" s="142" t="s">
        <v>76</v>
      </c>
      <c r="P37" s="22" t="s">
        <v>10</v>
      </c>
      <c r="Q37" s="142"/>
    </row>
    <row r="38" spans="1:17">
      <c r="A38" s="12">
        <v>37</v>
      </c>
      <c r="B38" s="97" t="s">
        <v>191</v>
      </c>
      <c r="C38" s="97" t="s">
        <v>192</v>
      </c>
      <c r="D38" s="97" t="s">
        <v>193</v>
      </c>
      <c r="E38" s="43" t="s">
        <v>100</v>
      </c>
      <c r="F38" s="40" t="s">
        <v>154</v>
      </c>
      <c r="G38" s="256">
        <v>5</v>
      </c>
      <c r="H38" s="184">
        <v>5</v>
      </c>
      <c r="I38" s="47"/>
      <c r="J38" s="40" t="s">
        <v>127</v>
      </c>
      <c r="K38" s="256">
        <v>7</v>
      </c>
      <c r="L38" s="40">
        <v>35</v>
      </c>
      <c r="M38" s="99">
        <f t="shared" si="1"/>
        <v>0.2</v>
      </c>
      <c r="N38" s="3" t="s">
        <v>58</v>
      </c>
      <c r="O38" s="142" t="s">
        <v>76</v>
      </c>
      <c r="P38" s="22" t="s">
        <v>10</v>
      </c>
      <c r="Q38" s="142"/>
    </row>
    <row r="39" spans="1:17">
      <c r="A39" s="12">
        <v>38</v>
      </c>
      <c r="B39" s="118" t="s">
        <v>554</v>
      </c>
      <c r="C39" s="118" t="s">
        <v>440</v>
      </c>
      <c r="D39" s="118" t="s">
        <v>357</v>
      </c>
      <c r="E39" s="262" t="s">
        <v>99</v>
      </c>
      <c r="F39" s="40" t="s">
        <v>154</v>
      </c>
      <c r="G39" s="256">
        <v>5</v>
      </c>
      <c r="H39" s="184">
        <v>5</v>
      </c>
      <c r="I39" s="5"/>
      <c r="J39" s="40" t="s">
        <v>127</v>
      </c>
      <c r="K39" s="258">
        <v>7</v>
      </c>
      <c r="L39" s="40">
        <v>35</v>
      </c>
      <c r="M39" s="99">
        <f t="shared" si="1"/>
        <v>0.2</v>
      </c>
      <c r="N39" s="3" t="s">
        <v>58</v>
      </c>
      <c r="O39" s="142" t="s">
        <v>76</v>
      </c>
      <c r="P39" s="22" t="s">
        <v>10</v>
      </c>
      <c r="Q39" s="142"/>
    </row>
    <row r="40" spans="1:17">
      <c r="A40" s="12">
        <v>39</v>
      </c>
      <c r="B40" s="97" t="s">
        <v>676</v>
      </c>
      <c r="C40" s="97" t="s">
        <v>377</v>
      </c>
      <c r="D40" s="97" t="s">
        <v>675</v>
      </c>
      <c r="E40" s="43" t="s">
        <v>100</v>
      </c>
      <c r="F40" s="40" t="s">
        <v>154</v>
      </c>
      <c r="G40" s="256">
        <v>5</v>
      </c>
      <c r="H40" s="184">
        <v>5</v>
      </c>
      <c r="I40" s="47"/>
      <c r="J40" s="40" t="s">
        <v>127</v>
      </c>
      <c r="K40" s="256">
        <v>2</v>
      </c>
      <c r="L40" s="40">
        <v>35</v>
      </c>
      <c r="M40" s="99">
        <f t="shared" si="1"/>
        <v>5.7142857142857141E-2</v>
      </c>
      <c r="N40" s="3" t="s">
        <v>58</v>
      </c>
      <c r="O40" s="142" t="s">
        <v>76</v>
      </c>
      <c r="P40" s="22" t="s">
        <v>10</v>
      </c>
      <c r="Q40" s="142"/>
    </row>
    <row r="41" spans="1:17">
      <c r="A41" s="12">
        <v>40</v>
      </c>
      <c r="B41" s="40" t="s">
        <v>256</v>
      </c>
      <c r="C41" s="40" t="s">
        <v>225</v>
      </c>
      <c r="D41" s="40" t="s">
        <v>220</v>
      </c>
      <c r="E41" s="43" t="s">
        <v>100</v>
      </c>
      <c r="F41" s="40" t="s">
        <v>154</v>
      </c>
      <c r="G41" s="184">
        <v>6</v>
      </c>
      <c r="H41" s="184">
        <v>6</v>
      </c>
      <c r="I41" s="40"/>
      <c r="J41" s="40" t="s">
        <v>127</v>
      </c>
      <c r="K41" s="173">
        <v>26</v>
      </c>
      <c r="L41" s="40">
        <v>35</v>
      </c>
      <c r="M41" s="4">
        <f t="shared" si="1"/>
        <v>0.74285714285714288</v>
      </c>
      <c r="N41" s="3" t="s">
        <v>58</v>
      </c>
      <c r="O41" s="142" t="s">
        <v>76</v>
      </c>
      <c r="P41" s="22" t="s">
        <v>10</v>
      </c>
      <c r="Q41" s="142"/>
    </row>
    <row r="42" spans="1:17">
      <c r="A42" s="12">
        <v>41</v>
      </c>
      <c r="B42" s="40" t="s">
        <v>674</v>
      </c>
      <c r="C42" s="40" t="s">
        <v>242</v>
      </c>
      <c r="D42" s="40" t="s">
        <v>233</v>
      </c>
      <c r="E42" s="43" t="s">
        <v>100</v>
      </c>
      <c r="F42" s="40" t="s">
        <v>154</v>
      </c>
      <c r="G42" s="184">
        <v>6</v>
      </c>
      <c r="H42" s="184">
        <v>6</v>
      </c>
      <c r="I42" s="40"/>
      <c r="J42" s="40" t="s">
        <v>127</v>
      </c>
      <c r="K42" s="173">
        <v>23</v>
      </c>
      <c r="L42" s="40">
        <v>35</v>
      </c>
      <c r="M42" s="4">
        <f t="shared" si="1"/>
        <v>0.65714285714285714</v>
      </c>
      <c r="N42" s="3" t="s">
        <v>58</v>
      </c>
      <c r="O42" s="142" t="s">
        <v>76</v>
      </c>
      <c r="P42" s="22" t="s">
        <v>10</v>
      </c>
      <c r="Q42" s="142"/>
    </row>
    <row r="43" spans="1:17">
      <c r="A43" s="12">
        <v>42</v>
      </c>
      <c r="B43" s="22" t="s">
        <v>264</v>
      </c>
      <c r="C43" s="40" t="s">
        <v>263</v>
      </c>
      <c r="D43" s="40" t="s">
        <v>233</v>
      </c>
      <c r="E43" s="43" t="s">
        <v>100</v>
      </c>
      <c r="F43" s="40" t="s">
        <v>154</v>
      </c>
      <c r="G43" s="184">
        <v>6</v>
      </c>
      <c r="H43" s="184">
        <v>6</v>
      </c>
      <c r="I43" s="40"/>
      <c r="J43" s="40" t="s">
        <v>127</v>
      </c>
      <c r="K43" s="173">
        <v>18</v>
      </c>
      <c r="L43" s="40">
        <v>35</v>
      </c>
      <c r="M43" s="4">
        <f t="shared" si="1"/>
        <v>0.51428571428571423</v>
      </c>
      <c r="N43" s="3" t="s">
        <v>58</v>
      </c>
      <c r="O43" s="142" t="s">
        <v>76</v>
      </c>
      <c r="P43" s="22" t="s">
        <v>10</v>
      </c>
      <c r="Q43" s="142"/>
    </row>
    <row r="44" spans="1:17">
      <c r="A44" s="12">
        <v>43</v>
      </c>
      <c r="B44" s="22" t="s">
        <v>435</v>
      </c>
      <c r="C44" s="40" t="s">
        <v>200</v>
      </c>
      <c r="D44" s="40" t="s">
        <v>509</v>
      </c>
      <c r="E44" s="43" t="s">
        <v>100</v>
      </c>
      <c r="F44" s="40" t="s">
        <v>154</v>
      </c>
      <c r="G44" s="184">
        <v>6</v>
      </c>
      <c r="H44" s="184">
        <v>6</v>
      </c>
      <c r="I44" s="40"/>
      <c r="J44" s="40" t="s">
        <v>127</v>
      </c>
      <c r="K44" s="173">
        <v>9</v>
      </c>
      <c r="L44" s="40">
        <v>35</v>
      </c>
      <c r="M44" s="4">
        <f t="shared" si="1"/>
        <v>0.25714285714285712</v>
      </c>
      <c r="N44" s="3" t="s">
        <v>58</v>
      </c>
      <c r="O44" s="142" t="s">
        <v>76</v>
      </c>
      <c r="P44" s="22" t="s">
        <v>10</v>
      </c>
      <c r="Q44" s="142"/>
    </row>
    <row r="45" spans="1:17">
      <c r="A45" s="12">
        <v>44</v>
      </c>
      <c r="B45" s="22" t="s">
        <v>673</v>
      </c>
      <c r="C45" s="40" t="s">
        <v>382</v>
      </c>
      <c r="D45" s="40" t="s">
        <v>357</v>
      </c>
      <c r="E45" s="43" t="s">
        <v>99</v>
      </c>
      <c r="F45" s="40" t="s">
        <v>154</v>
      </c>
      <c r="G45" s="184">
        <v>6</v>
      </c>
      <c r="H45" s="184">
        <v>6</v>
      </c>
      <c r="I45" s="40"/>
      <c r="J45" s="40" t="s">
        <v>127</v>
      </c>
      <c r="K45" s="173">
        <v>4</v>
      </c>
      <c r="L45" s="40">
        <v>35</v>
      </c>
      <c r="M45" s="4">
        <f t="shared" si="1"/>
        <v>0.11428571428571428</v>
      </c>
      <c r="N45" s="3" t="s">
        <v>58</v>
      </c>
      <c r="O45" s="142" t="s">
        <v>76</v>
      </c>
      <c r="P45" s="22" t="s">
        <v>10</v>
      </c>
      <c r="Q45" s="142"/>
    </row>
    <row r="46" spans="1:17">
      <c r="A46" s="12">
        <v>45</v>
      </c>
      <c r="B46" s="22" t="s">
        <v>288</v>
      </c>
      <c r="C46" s="40" t="s">
        <v>287</v>
      </c>
      <c r="D46" s="40" t="s">
        <v>286</v>
      </c>
      <c r="E46" s="43" t="s">
        <v>99</v>
      </c>
      <c r="F46" s="40" t="s">
        <v>154</v>
      </c>
      <c r="G46" s="184">
        <v>6</v>
      </c>
      <c r="H46" s="184">
        <v>6</v>
      </c>
      <c r="I46" s="40"/>
      <c r="J46" s="40" t="s">
        <v>127</v>
      </c>
      <c r="K46" s="173">
        <v>2</v>
      </c>
      <c r="L46" s="40">
        <v>35</v>
      </c>
      <c r="M46" s="4">
        <f t="shared" si="1"/>
        <v>5.7142857142857141E-2</v>
      </c>
      <c r="N46" s="3" t="s">
        <v>58</v>
      </c>
      <c r="O46" s="142" t="s">
        <v>76</v>
      </c>
      <c r="P46" s="22" t="s">
        <v>10</v>
      </c>
      <c r="Q46" s="142"/>
    </row>
    <row r="47" spans="1:17">
      <c r="A47" s="12">
        <v>46</v>
      </c>
      <c r="B47" s="22" t="s">
        <v>672</v>
      </c>
      <c r="C47" s="40" t="s">
        <v>671</v>
      </c>
      <c r="D47" s="40" t="s">
        <v>213</v>
      </c>
      <c r="E47" s="43" t="s">
        <v>99</v>
      </c>
      <c r="F47" s="40" t="s">
        <v>154</v>
      </c>
      <c r="G47" s="184">
        <v>6</v>
      </c>
      <c r="H47" s="184">
        <v>6</v>
      </c>
      <c r="I47" s="40"/>
      <c r="J47" s="40" t="s">
        <v>127</v>
      </c>
      <c r="K47" s="173">
        <v>2</v>
      </c>
      <c r="L47" s="40">
        <v>35</v>
      </c>
      <c r="M47" s="4">
        <f t="shared" si="1"/>
        <v>5.7142857142857141E-2</v>
      </c>
      <c r="N47" s="3" t="s">
        <v>58</v>
      </c>
      <c r="O47" s="142" t="s">
        <v>76</v>
      </c>
      <c r="P47" s="22" t="s">
        <v>10</v>
      </c>
      <c r="Q47" s="142"/>
    </row>
    <row r="48" spans="1:17">
      <c r="A48" s="12">
        <v>47</v>
      </c>
      <c r="B48" s="22" t="s">
        <v>670</v>
      </c>
      <c r="C48" s="40" t="s">
        <v>429</v>
      </c>
      <c r="D48" s="40" t="s">
        <v>216</v>
      </c>
      <c r="E48" s="43" t="s">
        <v>99</v>
      </c>
      <c r="F48" s="40" t="s">
        <v>154</v>
      </c>
      <c r="G48" s="184">
        <v>7</v>
      </c>
      <c r="H48" s="184">
        <v>7</v>
      </c>
      <c r="I48" s="40"/>
      <c r="J48" s="40" t="s">
        <v>127</v>
      </c>
      <c r="K48" s="173">
        <v>16</v>
      </c>
      <c r="L48" s="40">
        <v>35</v>
      </c>
      <c r="M48" s="4">
        <f t="shared" si="1"/>
        <v>0.45714285714285713</v>
      </c>
      <c r="N48" s="3" t="s">
        <v>50</v>
      </c>
      <c r="O48" s="264" t="s">
        <v>76</v>
      </c>
      <c r="P48" s="22" t="s">
        <v>10</v>
      </c>
      <c r="Q48" s="142"/>
    </row>
    <row r="49" spans="1:17">
      <c r="A49" s="12">
        <v>48</v>
      </c>
      <c r="B49" s="40" t="s">
        <v>669</v>
      </c>
      <c r="C49" s="40" t="s">
        <v>204</v>
      </c>
      <c r="D49" s="40" t="s">
        <v>252</v>
      </c>
      <c r="E49" s="43" t="s">
        <v>100</v>
      </c>
      <c r="F49" s="40" t="s">
        <v>154</v>
      </c>
      <c r="G49" s="184">
        <v>7</v>
      </c>
      <c r="H49" s="184">
        <v>7</v>
      </c>
      <c r="I49" s="40"/>
      <c r="J49" s="40" t="s">
        <v>127</v>
      </c>
      <c r="K49" s="173">
        <v>14</v>
      </c>
      <c r="L49" s="40">
        <v>35</v>
      </c>
      <c r="M49" s="4">
        <f t="shared" si="1"/>
        <v>0.4</v>
      </c>
      <c r="N49" s="3" t="s">
        <v>58</v>
      </c>
      <c r="O49" s="264" t="s">
        <v>76</v>
      </c>
      <c r="P49" s="22" t="s">
        <v>10</v>
      </c>
      <c r="Q49" s="142"/>
    </row>
    <row r="50" spans="1:17">
      <c r="A50" s="12">
        <v>49</v>
      </c>
      <c r="B50" s="22" t="s">
        <v>299</v>
      </c>
      <c r="C50" s="40" t="s">
        <v>227</v>
      </c>
      <c r="D50" s="40" t="s">
        <v>198</v>
      </c>
      <c r="E50" s="43" t="s">
        <v>100</v>
      </c>
      <c r="F50" s="40" t="s">
        <v>154</v>
      </c>
      <c r="G50" s="184">
        <v>7</v>
      </c>
      <c r="H50" s="184">
        <v>7</v>
      </c>
      <c r="I50" s="40"/>
      <c r="J50" s="40" t="s">
        <v>127</v>
      </c>
      <c r="K50" s="173">
        <v>9</v>
      </c>
      <c r="L50" s="40">
        <v>35</v>
      </c>
      <c r="M50" s="4">
        <f t="shared" si="1"/>
        <v>0.25714285714285712</v>
      </c>
      <c r="N50" s="3" t="s">
        <v>58</v>
      </c>
      <c r="O50" s="264" t="s">
        <v>76</v>
      </c>
      <c r="P50" s="22" t="s">
        <v>10</v>
      </c>
      <c r="Q50" s="142"/>
    </row>
    <row r="51" spans="1:17">
      <c r="A51" s="12">
        <v>50</v>
      </c>
      <c r="B51" s="22" t="s">
        <v>222</v>
      </c>
      <c r="C51" s="40" t="s">
        <v>289</v>
      </c>
      <c r="D51" s="40" t="s">
        <v>223</v>
      </c>
      <c r="E51" s="43" t="s">
        <v>100</v>
      </c>
      <c r="F51" s="40" t="s">
        <v>154</v>
      </c>
      <c r="G51" s="184">
        <v>7</v>
      </c>
      <c r="H51" s="184">
        <v>7</v>
      </c>
      <c r="I51" s="40"/>
      <c r="J51" s="40" t="s">
        <v>127</v>
      </c>
      <c r="K51" s="173">
        <v>9</v>
      </c>
      <c r="L51" s="40">
        <v>35</v>
      </c>
      <c r="M51" s="4">
        <f t="shared" si="1"/>
        <v>0.25714285714285712</v>
      </c>
      <c r="N51" s="3" t="s">
        <v>58</v>
      </c>
      <c r="O51" s="264" t="s">
        <v>76</v>
      </c>
      <c r="P51" s="22" t="s">
        <v>10</v>
      </c>
      <c r="Q51" s="142"/>
    </row>
    <row r="52" spans="1:17">
      <c r="A52" s="12">
        <v>51</v>
      </c>
      <c r="B52" s="40" t="s">
        <v>668</v>
      </c>
      <c r="C52" s="40" t="s">
        <v>242</v>
      </c>
      <c r="D52" s="40" t="s">
        <v>311</v>
      </c>
      <c r="E52" s="43" t="s">
        <v>100</v>
      </c>
      <c r="F52" s="40" t="s">
        <v>154</v>
      </c>
      <c r="G52" s="184">
        <v>7</v>
      </c>
      <c r="H52" s="184">
        <v>7</v>
      </c>
      <c r="I52" s="40"/>
      <c r="J52" s="40" t="s">
        <v>127</v>
      </c>
      <c r="K52" s="173">
        <v>7</v>
      </c>
      <c r="L52" s="40">
        <v>35</v>
      </c>
      <c r="M52" s="4">
        <f t="shared" si="1"/>
        <v>0.2</v>
      </c>
      <c r="N52" s="3" t="s">
        <v>58</v>
      </c>
      <c r="O52" s="264" t="s">
        <v>76</v>
      </c>
      <c r="P52" s="22" t="s">
        <v>10</v>
      </c>
      <c r="Q52" s="142"/>
    </row>
    <row r="53" spans="1:17">
      <c r="A53" s="12">
        <v>52</v>
      </c>
      <c r="B53" s="22" t="s">
        <v>310</v>
      </c>
      <c r="C53" s="40" t="s">
        <v>294</v>
      </c>
      <c r="D53" s="40" t="s">
        <v>223</v>
      </c>
      <c r="E53" s="43" t="s">
        <v>100</v>
      </c>
      <c r="F53" s="40" t="s">
        <v>154</v>
      </c>
      <c r="G53" s="184">
        <v>7</v>
      </c>
      <c r="H53" s="184">
        <v>7</v>
      </c>
      <c r="I53" s="40"/>
      <c r="J53" s="40" t="s">
        <v>127</v>
      </c>
      <c r="K53" s="173">
        <v>5</v>
      </c>
      <c r="L53" s="40">
        <v>35</v>
      </c>
      <c r="M53" s="4">
        <f t="shared" si="1"/>
        <v>0.14285714285714285</v>
      </c>
      <c r="N53" s="3" t="s">
        <v>58</v>
      </c>
      <c r="O53" s="264" t="s">
        <v>76</v>
      </c>
      <c r="P53" s="22" t="s">
        <v>10</v>
      </c>
      <c r="Q53" s="142"/>
    </row>
    <row r="54" spans="1:17">
      <c r="A54" s="12">
        <v>53</v>
      </c>
      <c r="B54" s="22" t="s">
        <v>298</v>
      </c>
      <c r="C54" s="40" t="s">
        <v>297</v>
      </c>
      <c r="D54" s="40" t="s">
        <v>233</v>
      </c>
      <c r="E54" s="43" t="s">
        <v>100</v>
      </c>
      <c r="F54" s="40" t="s">
        <v>154</v>
      </c>
      <c r="G54" s="184">
        <v>7</v>
      </c>
      <c r="H54" s="184">
        <v>7</v>
      </c>
      <c r="I54" s="40"/>
      <c r="J54" s="40" t="s">
        <v>127</v>
      </c>
      <c r="K54" s="173">
        <v>5</v>
      </c>
      <c r="L54" s="40">
        <v>35</v>
      </c>
      <c r="M54" s="4">
        <f t="shared" si="1"/>
        <v>0.14285714285714285</v>
      </c>
      <c r="N54" s="3" t="s">
        <v>58</v>
      </c>
      <c r="O54" s="264" t="s">
        <v>76</v>
      </c>
      <c r="P54" s="22" t="s">
        <v>10</v>
      </c>
      <c r="Q54" s="142"/>
    </row>
    <row r="55" spans="1:17">
      <c r="A55" s="12">
        <v>54</v>
      </c>
      <c r="B55" s="22" t="s">
        <v>387</v>
      </c>
      <c r="C55" s="40" t="s">
        <v>272</v>
      </c>
      <c r="D55" s="40" t="s">
        <v>389</v>
      </c>
      <c r="E55" s="43" t="s">
        <v>99</v>
      </c>
      <c r="F55" s="40" t="s">
        <v>154</v>
      </c>
      <c r="G55" s="184">
        <v>7</v>
      </c>
      <c r="H55" s="184">
        <v>7</v>
      </c>
      <c r="I55" s="40"/>
      <c r="J55" s="40" t="s">
        <v>127</v>
      </c>
      <c r="K55" s="173">
        <v>0</v>
      </c>
      <c r="L55" s="40">
        <v>35</v>
      </c>
      <c r="M55" s="4">
        <f t="shared" si="1"/>
        <v>0</v>
      </c>
      <c r="N55" s="3" t="s">
        <v>58</v>
      </c>
      <c r="O55" s="264" t="s">
        <v>76</v>
      </c>
      <c r="P55" s="22" t="s">
        <v>10</v>
      </c>
      <c r="Q55" s="142"/>
    </row>
    <row r="56" spans="1:17">
      <c r="A56" s="12">
        <v>55</v>
      </c>
      <c r="B56" s="40" t="s">
        <v>642</v>
      </c>
      <c r="C56" s="40" t="s">
        <v>382</v>
      </c>
      <c r="D56" s="40" t="s">
        <v>383</v>
      </c>
      <c r="E56" s="43" t="s">
        <v>99</v>
      </c>
      <c r="F56" s="40" t="s">
        <v>154</v>
      </c>
      <c r="G56" s="184">
        <v>8</v>
      </c>
      <c r="H56" s="184">
        <v>8</v>
      </c>
      <c r="I56" s="40"/>
      <c r="J56" s="40" t="s">
        <v>127</v>
      </c>
      <c r="K56" s="173">
        <v>11</v>
      </c>
      <c r="L56" s="40">
        <v>35</v>
      </c>
      <c r="M56" s="4">
        <f t="shared" si="1"/>
        <v>0.31428571428571428</v>
      </c>
      <c r="N56" s="3" t="s">
        <v>58</v>
      </c>
      <c r="O56" s="264" t="s">
        <v>76</v>
      </c>
      <c r="P56" s="22" t="s">
        <v>10</v>
      </c>
      <c r="Q56" s="142"/>
    </row>
    <row r="57" spans="1:17">
      <c r="A57" s="12">
        <v>56</v>
      </c>
      <c r="B57" s="40" t="s">
        <v>570</v>
      </c>
      <c r="C57" s="40" t="s">
        <v>188</v>
      </c>
      <c r="D57" s="40" t="s">
        <v>357</v>
      </c>
      <c r="E57" s="43" t="s">
        <v>99</v>
      </c>
      <c r="F57" s="40" t="s">
        <v>154</v>
      </c>
      <c r="G57" s="184">
        <v>8</v>
      </c>
      <c r="H57" s="184">
        <v>8</v>
      </c>
      <c r="I57" s="40"/>
      <c r="J57" s="40" t="s">
        <v>127</v>
      </c>
      <c r="K57" s="173">
        <v>11</v>
      </c>
      <c r="L57" s="40">
        <v>35</v>
      </c>
      <c r="M57" s="4">
        <f t="shared" si="1"/>
        <v>0.31428571428571428</v>
      </c>
      <c r="N57" s="3" t="s">
        <v>58</v>
      </c>
      <c r="O57" s="264" t="s">
        <v>76</v>
      </c>
      <c r="P57" s="22" t="s">
        <v>10</v>
      </c>
      <c r="Q57" s="142"/>
    </row>
    <row r="58" spans="1:17">
      <c r="A58" s="12">
        <v>57</v>
      </c>
      <c r="B58" s="22" t="s">
        <v>579</v>
      </c>
      <c r="C58" s="22" t="s">
        <v>188</v>
      </c>
      <c r="D58" s="22" t="s">
        <v>700</v>
      </c>
      <c r="E58" s="43" t="s">
        <v>99</v>
      </c>
      <c r="F58" s="40" t="s">
        <v>154</v>
      </c>
      <c r="G58" s="184">
        <v>8</v>
      </c>
      <c r="H58" s="184">
        <v>8</v>
      </c>
      <c r="I58" s="40"/>
      <c r="J58" s="40" t="s">
        <v>127</v>
      </c>
      <c r="K58" s="173">
        <v>9</v>
      </c>
      <c r="L58" s="40">
        <v>35</v>
      </c>
      <c r="M58" s="4">
        <f t="shared" si="1"/>
        <v>0.25714285714285712</v>
      </c>
      <c r="N58" s="3" t="s">
        <v>58</v>
      </c>
      <c r="O58" s="264" t="s">
        <v>76</v>
      </c>
      <c r="P58" s="22" t="s">
        <v>10</v>
      </c>
      <c r="Q58" s="142"/>
    </row>
    <row r="59" spans="1:17">
      <c r="A59" s="12">
        <v>58</v>
      </c>
      <c r="B59" s="22" t="s">
        <v>643</v>
      </c>
      <c r="C59" s="40" t="s">
        <v>215</v>
      </c>
      <c r="D59" s="40" t="s">
        <v>502</v>
      </c>
      <c r="E59" s="43" t="s">
        <v>99</v>
      </c>
      <c r="F59" s="40" t="s">
        <v>154</v>
      </c>
      <c r="G59" s="184">
        <v>8</v>
      </c>
      <c r="H59" s="184">
        <v>8</v>
      </c>
      <c r="I59" s="40"/>
      <c r="J59" s="40" t="s">
        <v>127</v>
      </c>
      <c r="K59" s="173">
        <v>8</v>
      </c>
      <c r="L59" s="40">
        <v>35</v>
      </c>
      <c r="M59" s="4">
        <f t="shared" si="1"/>
        <v>0.22857142857142856</v>
      </c>
      <c r="N59" s="3" t="s">
        <v>58</v>
      </c>
      <c r="O59" s="264" t="s">
        <v>76</v>
      </c>
      <c r="P59" s="22" t="s">
        <v>10</v>
      </c>
      <c r="Q59" s="142"/>
    </row>
    <row r="60" spans="1:17">
      <c r="A60" s="12">
        <v>59</v>
      </c>
      <c r="B60" s="22" t="s">
        <v>464</v>
      </c>
      <c r="C60" s="40" t="s">
        <v>274</v>
      </c>
      <c r="D60" s="40" t="s">
        <v>319</v>
      </c>
      <c r="E60" s="43" t="s">
        <v>99</v>
      </c>
      <c r="F60" s="40" t="s">
        <v>154</v>
      </c>
      <c r="G60" s="184">
        <v>8</v>
      </c>
      <c r="H60" s="184">
        <v>8</v>
      </c>
      <c r="I60" s="40"/>
      <c r="J60" s="40" t="s">
        <v>127</v>
      </c>
      <c r="K60" s="173">
        <v>7</v>
      </c>
      <c r="L60" s="40">
        <v>35</v>
      </c>
      <c r="M60" s="4">
        <f t="shared" si="1"/>
        <v>0.2</v>
      </c>
      <c r="N60" s="3" t="s">
        <v>58</v>
      </c>
      <c r="O60" s="264" t="s">
        <v>76</v>
      </c>
      <c r="P60" s="22" t="s">
        <v>10</v>
      </c>
      <c r="Q60" s="142"/>
    </row>
    <row r="61" spans="1:17">
      <c r="A61" s="12">
        <v>60</v>
      </c>
      <c r="B61" s="22" t="s">
        <v>573</v>
      </c>
      <c r="C61" s="40" t="s">
        <v>183</v>
      </c>
      <c r="D61" s="40" t="s">
        <v>250</v>
      </c>
      <c r="E61" s="43" t="s">
        <v>100</v>
      </c>
      <c r="F61" s="40" t="s">
        <v>154</v>
      </c>
      <c r="G61" s="184">
        <v>8</v>
      </c>
      <c r="H61" s="184">
        <v>8</v>
      </c>
      <c r="I61" s="40"/>
      <c r="J61" s="40" t="s">
        <v>127</v>
      </c>
      <c r="K61" s="173">
        <v>7</v>
      </c>
      <c r="L61" s="40">
        <v>35</v>
      </c>
      <c r="M61" s="4">
        <f t="shared" si="1"/>
        <v>0.2</v>
      </c>
      <c r="N61" s="3" t="s">
        <v>58</v>
      </c>
      <c r="O61" s="264" t="s">
        <v>76</v>
      </c>
      <c r="P61" s="22" t="s">
        <v>10</v>
      </c>
      <c r="Q61" s="142"/>
    </row>
    <row r="62" spans="1:17">
      <c r="A62" s="12">
        <v>61</v>
      </c>
      <c r="B62" s="22" t="s">
        <v>667</v>
      </c>
      <c r="C62" s="40" t="s">
        <v>272</v>
      </c>
      <c r="D62" s="40" t="s">
        <v>186</v>
      </c>
      <c r="E62" s="43" t="s">
        <v>99</v>
      </c>
      <c r="F62" s="40" t="s">
        <v>154</v>
      </c>
      <c r="G62" s="184">
        <v>8</v>
      </c>
      <c r="H62" s="184">
        <v>8</v>
      </c>
      <c r="I62" s="40"/>
      <c r="J62" s="40" t="s">
        <v>127</v>
      </c>
      <c r="K62" s="173">
        <v>7</v>
      </c>
      <c r="L62" s="40">
        <v>35</v>
      </c>
      <c r="M62" s="4">
        <f t="shared" si="1"/>
        <v>0.2</v>
      </c>
      <c r="N62" s="3" t="s">
        <v>58</v>
      </c>
      <c r="O62" s="264" t="s">
        <v>76</v>
      </c>
      <c r="P62" s="22" t="s">
        <v>10</v>
      </c>
      <c r="Q62" s="142"/>
    </row>
    <row r="63" spans="1:17">
      <c r="A63" s="12">
        <v>62</v>
      </c>
      <c r="B63" s="22" t="s">
        <v>529</v>
      </c>
      <c r="C63" s="40" t="s">
        <v>289</v>
      </c>
      <c r="D63" s="40" t="s">
        <v>235</v>
      </c>
      <c r="E63" s="43" t="s">
        <v>100</v>
      </c>
      <c r="F63" s="40" t="s">
        <v>154</v>
      </c>
      <c r="G63" s="184">
        <v>8</v>
      </c>
      <c r="H63" s="184">
        <v>8</v>
      </c>
      <c r="I63" s="40"/>
      <c r="J63" s="40" t="s">
        <v>127</v>
      </c>
      <c r="K63" s="173">
        <v>6</v>
      </c>
      <c r="L63" s="40">
        <v>35</v>
      </c>
      <c r="M63" s="4">
        <f t="shared" si="1"/>
        <v>0.17142857142857143</v>
      </c>
      <c r="N63" s="3" t="s">
        <v>58</v>
      </c>
      <c r="O63" s="264" t="s">
        <v>76</v>
      </c>
      <c r="P63" s="22" t="s">
        <v>10</v>
      </c>
      <c r="Q63" s="142"/>
    </row>
    <row r="64" spans="1:17">
      <c r="A64" s="12">
        <v>63</v>
      </c>
      <c r="B64" s="22" t="s">
        <v>666</v>
      </c>
      <c r="C64" s="40" t="s">
        <v>665</v>
      </c>
      <c r="D64" s="40" t="s">
        <v>186</v>
      </c>
      <c r="E64" s="43" t="s">
        <v>99</v>
      </c>
      <c r="F64" s="40" t="s">
        <v>154</v>
      </c>
      <c r="G64" s="184">
        <v>8</v>
      </c>
      <c r="H64" s="184">
        <v>8</v>
      </c>
      <c r="I64" s="40"/>
      <c r="J64" s="40" t="s">
        <v>127</v>
      </c>
      <c r="K64" s="173">
        <v>6</v>
      </c>
      <c r="L64" s="40">
        <v>35</v>
      </c>
      <c r="M64" s="4">
        <f t="shared" si="1"/>
        <v>0.17142857142857143</v>
      </c>
      <c r="N64" s="3" t="s">
        <v>58</v>
      </c>
      <c r="O64" s="264" t="s">
        <v>76</v>
      </c>
      <c r="P64" s="22" t="s">
        <v>10</v>
      </c>
      <c r="Q64" s="142"/>
    </row>
    <row r="65" spans="1:17">
      <c r="A65" s="12">
        <v>64</v>
      </c>
      <c r="B65" s="22" t="s">
        <v>664</v>
      </c>
      <c r="C65" s="40" t="s">
        <v>183</v>
      </c>
      <c r="D65" s="40" t="s">
        <v>175</v>
      </c>
      <c r="E65" s="43" t="s">
        <v>100</v>
      </c>
      <c r="F65" s="40" t="s">
        <v>154</v>
      </c>
      <c r="G65" s="184">
        <v>8</v>
      </c>
      <c r="H65" s="184">
        <v>8</v>
      </c>
      <c r="I65" s="40"/>
      <c r="J65" s="40" t="s">
        <v>127</v>
      </c>
      <c r="K65" s="173">
        <v>6</v>
      </c>
      <c r="L65" s="40">
        <v>35</v>
      </c>
      <c r="M65" s="4">
        <f t="shared" si="1"/>
        <v>0.17142857142857143</v>
      </c>
      <c r="N65" s="3" t="s">
        <v>58</v>
      </c>
      <c r="O65" s="264" t="s">
        <v>76</v>
      </c>
      <c r="P65" s="22" t="s">
        <v>10</v>
      </c>
      <c r="Q65" s="142"/>
    </row>
    <row r="66" spans="1:17">
      <c r="A66" s="12">
        <v>65</v>
      </c>
      <c r="B66" s="22" t="s">
        <v>375</v>
      </c>
      <c r="C66" s="40" t="s">
        <v>238</v>
      </c>
      <c r="D66" s="40" t="s">
        <v>198</v>
      </c>
      <c r="E66" s="43" t="s">
        <v>100</v>
      </c>
      <c r="F66" s="40" t="s">
        <v>154</v>
      </c>
      <c r="G66" s="184">
        <v>8</v>
      </c>
      <c r="H66" s="184">
        <v>8</v>
      </c>
      <c r="I66" s="40"/>
      <c r="J66" s="40" t="s">
        <v>127</v>
      </c>
      <c r="K66" s="173">
        <v>5</v>
      </c>
      <c r="L66" s="40">
        <v>35</v>
      </c>
      <c r="M66" s="4">
        <f t="shared" si="1"/>
        <v>0.14285714285714285</v>
      </c>
      <c r="N66" s="3" t="s">
        <v>58</v>
      </c>
      <c r="O66" s="264" t="s">
        <v>76</v>
      </c>
      <c r="P66" s="22" t="s">
        <v>10</v>
      </c>
      <c r="Q66" s="142"/>
    </row>
    <row r="67" spans="1:17">
      <c r="A67" s="12">
        <v>66</v>
      </c>
      <c r="B67" s="22" t="s">
        <v>318</v>
      </c>
      <c r="C67" s="40" t="s">
        <v>263</v>
      </c>
      <c r="D67" s="40" t="s">
        <v>235</v>
      </c>
      <c r="E67" s="43" t="s">
        <v>100</v>
      </c>
      <c r="F67" s="40" t="s">
        <v>154</v>
      </c>
      <c r="G67" s="184">
        <v>8</v>
      </c>
      <c r="H67" s="184">
        <v>8</v>
      </c>
      <c r="I67" s="40"/>
      <c r="J67" s="40" t="s">
        <v>127</v>
      </c>
      <c r="K67" s="173">
        <v>5</v>
      </c>
      <c r="L67" s="40">
        <v>35</v>
      </c>
      <c r="M67" s="4">
        <f t="shared" si="1"/>
        <v>0.14285714285714285</v>
      </c>
      <c r="N67" s="3" t="s">
        <v>58</v>
      </c>
      <c r="O67" s="264" t="s">
        <v>76</v>
      </c>
      <c r="P67" s="22" t="s">
        <v>10</v>
      </c>
      <c r="Q67" s="142"/>
    </row>
    <row r="68" spans="1:17">
      <c r="A68" s="12">
        <v>67</v>
      </c>
      <c r="B68" s="22" t="s">
        <v>663</v>
      </c>
      <c r="C68" s="40" t="s">
        <v>662</v>
      </c>
      <c r="D68" s="40" t="s">
        <v>186</v>
      </c>
      <c r="E68" s="43" t="s">
        <v>99</v>
      </c>
      <c r="F68" s="40" t="s">
        <v>154</v>
      </c>
      <c r="G68" s="184">
        <v>8</v>
      </c>
      <c r="H68" s="184">
        <v>8</v>
      </c>
      <c r="I68" s="40"/>
      <c r="J68" s="40" t="s">
        <v>127</v>
      </c>
      <c r="K68" s="173">
        <v>4</v>
      </c>
      <c r="L68" s="40">
        <v>35</v>
      </c>
      <c r="M68" s="4">
        <f t="shared" si="1"/>
        <v>0.11428571428571428</v>
      </c>
      <c r="N68" s="3" t="s">
        <v>58</v>
      </c>
      <c r="O68" s="264" t="s">
        <v>76</v>
      </c>
      <c r="P68" s="22" t="s">
        <v>10</v>
      </c>
      <c r="Q68" s="142"/>
    </row>
    <row r="69" spans="1:17">
      <c r="A69" s="12">
        <v>68</v>
      </c>
      <c r="B69" s="22" t="s">
        <v>461</v>
      </c>
      <c r="C69" s="40" t="s">
        <v>289</v>
      </c>
      <c r="D69" s="40" t="s">
        <v>233</v>
      </c>
      <c r="E69" s="43" t="s">
        <v>100</v>
      </c>
      <c r="F69" s="40" t="s">
        <v>154</v>
      </c>
      <c r="G69" s="184">
        <v>8</v>
      </c>
      <c r="H69" s="184">
        <v>8</v>
      </c>
      <c r="I69" s="40"/>
      <c r="J69" s="40" t="s">
        <v>127</v>
      </c>
      <c r="K69" s="173">
        <v>4</v>
      </c>
      <c r="L69" s="40">
        <v>35</v>
      </c>
      <c r="M69" s="4">
        <f t="shared" si="1"/>
        <v>0.11428571428571428</v>
      </c>
      <c r="N69" s="3" t="s">
        <v>58</v>
      </c>
      <c r="O69" s="264" t="s">
        <v>76</v>
      </c>
      <c r="P69" s="22" t="s">
        <v>10</v>
      </c>
      <c r="Q69" s="142"/>
    </row>
    <row r="70" spans="1:17">
      <c r="A70" s="12">
        <v>69</v>
      </c>
      <c r="B70" s="97" t="s">
        <v>578</v>
      </c>
      <c r="C70" s="97" t="s">
        <v>301</v>
      </c>
      <c r="D70" s="97" t="s">
        <v>216</v>
      </c>
      <c r="E70" s="182" t="s">
        <v>99</v>
      </c>
      <c r="F70" s="40" t="s">
        <v>154</v>
      </c>
      <c r="G70" s="184">
        <v>8</v>
      </c>
      <c r="H70" s="184">
        <v>8</v>
      </c>
      <c r="I70" s="40"/>
      <c r="J70" s="40" t="s">
        <v>127</v>
      </c>
      <c r="K70" s="257">
        <v>2</v>
      </c>
      <c r="L70" s="40">
        <v>35</v>
      </c>
      <c r="M70" s="99">
        <f>K75/L75</f>
        <v>5.7142857142857141E-2</v>
      </c>
      <c r="N70" s="3" t="s">
        <v>58</v>
      </c>
      <c r="O70" s="264" t="s">
        <v>76</v>
      </c>
      <c r="P70" s="22" t="s">
        <v>10</v>
      </c>
      <c r="Q70" s="142"/>
    </row>
    <row r="71" spans="1:17">
      <c r="A71" s="12">
        <v>70</v>
      </c>
      <c r="B71" s="97" t="s">
        <v>661</v>
      </c>
      <c r="C71" s="97" t="s">
        <v>272</v>
      </c>
      <c r="D71" s="97" t="s">
        <v>286</v>
      </c>
      <c r="E71" s="239" t="s">
        <v>99</v>
      </c>
      <c r="F71" s="40" t="s">
        <v>154</v>
      </c>
      <c r="G71" s="40">
        <v>8</v>
      </c>
      <c r="H71" s="184">
        <v>8</v>
      </c>
      <c r="I71" s="40"/>
      <c r="J71" s="40" t="s">
        <v>127</v>
      </c>
      <c r="K71" s="257">
        <v>2</v>
      </c>
      <c r="L71" s="40">
        <v>35</v>
      </c>
      <c r="M71" s="99">
        <f>K70/L70</f>
        <v>5.7142857142857141E-2</v>
      </c>
      <c r="N71" s="3" t="s">
        <v>58</v>
      </c>
      <c r="O71" s="264" t="s">
        <v>76</v>
      </c>
      <c r="P71" s="22" t="s">
        <v>10</v>
      </c>
      <c r="Q71" s="142"/>
    </row>
    <row r="72" spans="1:17">
      <c r="A72" s="12">
        <v>71</v>
      </c>
      <c r="B72" s="97" t="s">
        <v>660</v>
      </c>
      <c r="C72" s="97" t="s">
        <v>377</v>
      </c>
      <c r="D72" s="97" t="s">
        <v>174</v>
      </c>
      <c r="E72" s="178" t="s">
        <v>100</v>
      </c>
      <c r="F72" s="40" t="s">
        <v>154</v>
      </c>
      <c r="G72" s="184">
        <v>8</v>
      </c>
      <c r="H72" s="184">
        <v>8</v>
      </c>
      <c r="I72" s="40"/>
      <c r="J72" s="40" t="s">
        <v>127</v>
      </c>
      <c r="K72" s="256">
        <v>2</v>
      </c>
      <c r="L72" s="40">
        <v>35</v>
      </c>
      <c r="M72" s="99">
        <f>K74/L74</f>
        <v>5.7142857142857141E-2</v>
      </c>
      <c r="N72" s="3" t="s">
        <v>58</v>
      </c>
      <c r="O72" s="264" t="s">
        <v>76</v>
      </c>
      <c r="P72" s="22" t="s">
        <v>10</v>
      </c>
      <c r="Q72" s="142"/>
    </row>
    <row r="73" spans="1:17">
      <c r="A73" s="12">
        <v>72</v>
      </c>
      <c r="B73" s="118" t="s">
        <v>659</v>
      </c>
      <c r="C73" s="118" t="s">
        <v>440</v>
      </c>
      <c r="D73" s="118" t="s">
        <v>216</v>
      </c>
      <c r="E73" s="183" t="s">
        <v>99</v>
      </c>
      <c r="F73" s="40" t="s">
        <v>154</v>
      </c>
      <c r="G73" s="184">
        <v>8</v>
      </c>
      <c r="H73" s="184">
        <v>8</v>
      </c>
      <c r="I73" s="40"/>
      <c r="J73" s="40" t="s">
        <v>127</v>
      </c>
      <c r="K73" s="258">
        <v>2</v>
      </c>
      <c r="L73" s="40">
        <v>35</v>
      </c>
      <c r="M73" s="99">
        <f>K73/L73</f>
        <v>5.7142857142857141E-2</v>
      </c>
      <c r="N73" s="3" t="s">
        <v>58</v>
      </c>
      <c r="O73" s="264" t="s">
        <v>76</v>
      </c>
      <c r="P73" s="22" t="s">
        <v>10</v>
      </c>
      <c r="Q73" s="142"/>
    </row>
    <row r="74" spans="1:17">
      <c r="A74" s="12">
        <v>73</v>
      </c>
      <c r="B74" s="97" t="s">
        <v>551</v>
      </c>
      <c r="C74" s="97" t="s">
        <v>545</v>
      </c>
      <c r="D74" s="97" t="s">
        <v>283</v>
      </c>
      <c r="E74" s="182" t="s">
        <v>99</v>
      </c>
      <c r="F74" s="40" t="s">
        <v>154</v>
      </c>
      <c r="G74" s="184">
        <v>8</v>
      </c>
      <c r="H74" s="184">
        <v>8</v>
      </c>
      <c r="I74" s="40"/>
      <c r="J74" s="40" t="s">
        <v>127</v>
      </c>
      <c r="K74" s="257">
        <v>2</v>
      </c>
      <c r="L74" s="40">
        <v>35</v>
      </c>
      <c r="M74" s="99">
        <f>K72/L72</f>
        <v>5.7142857142857141E-2</v>
      </c>
      <c r="N74" s="3" t="s">
        <v>58</v>
      </c>
      <c r="O74" s="264" t="s">
        <v>76</v>
      </c>
      <c r="P74" s="22" t="s">
        <v>10</v>
      </c>
      <c r="Q74" s="142"/>
    </row>
    <row r="75" spans="1:17">
      <c r="A75" s="12">
        <v>74</v>
      </c>
      <c r="B75" s="97" t="s">
        <v>384</v>
      </c>
      <c r="C75" s="97" t="s">
        <v>385</v>
      </c>
      <c r="D75" s="97" t="s">
        <v>386</v>
      </c>
      <c r="E75" s="182" t="s">
        <v>100</v>
      </c>
      <c r="F75" s="40" t="s">
        <v>154</v>
      </c>
      <c r="G75" s="184">
        <v>8</v>
      </c>
      <c r="H75" s="184">
        <v>8</v>
      </c>
      <c r="I75" s="40"/>
      <c r="J75" s="40" t="s">
        <v>127</v>
      </c>
      <c r="K75" s="257">
        <v>2</v>
      </c>
      <c r="L75" s="40">
        <v>35</v>
      </c>
      <c r="M75" s="4">
        <f>K71/L71</f>
        <v>5.7142857142857141E-2</v>
      </c>
      <c r="N75" s="3" t="s">
        <v>58</v>
      </c>
      <c r="O75" s="264" t="s">
        <v>76</v>
      </c>
      <c r="P75" s="22" t="s">
        <v>10</v>
      </c>
      <c r="Q75" s="142"/>
    </row>
    <row r="76" spans="1:17">
      <c r="A76" s="12">
        <v>75</v>
      </c>
      <c r="B76" s="22" t="s">
        <v>658</v>
      </c>
      <c r="C76" s="40" t="s">
        <v>657</v>
      </c>
      <c r="D76" s="40" t="s">
        <v>656</v>
      </c>
      <c r="E76" s="43" t="s">
        <v>99</v>
      </c>
      <c r="F76" s="40" t="s">
        <v>154</v>
      </c>
      <c r="G76" s="184">
        <v>9</v>
      </c>
      <c r="H76" s="40">
        <v>9</v>
      </c>
      <c r="I76" s="40"/>
      <c r="J76" s="40" t="s">
        <v>127</v>
      </c>
      <c r="K76" s="173">
        <v>16</v>
      </c>
      <c r="L76" s="40">
        <v>35</v>
      </c>
      <c r="M76" s="4">
        <f t="shared" ref="M76:M89" si="2">K76/L76</f>
        <v>0.45714285714285713</v>
      </c>
      <c r="N76" s="3" t="s">
        <v>50</v>
      </c>
      <c r="O76" s="264" t="s">
        <v>76</v>
      </c>
      <c r="P76" s="22" t="s">
        <v>10</v>
      </c>
      <c r="Q76" s="142"/>
    </row>
    <row r="77" spans="1:17">
      <c r="A77" s="12">
        <v>76</v>
      </c>
      <c r="B77" s="22" t="s">
        <v>332</v>
      </c>
      <c r="C77" s="40" t="s">
        <v>333</v>
      </c>
      <c r="D77" s="40" t="s">
        <v>334</v>
      </c>
      <c r="E77" s="43" t="s">
        <v>99</v>
      </c>
      <c r="F77" s="40" t="s">
        <v>154</v>
      </c>
      <c r="G77" s="184">
        <v>9</v>
      </c>
      <c r="H77" s="40">
        <v>9</v>
      </c>
      <c r="I77" s="40"/>
      <c r="J77" s="40" t="s">
        <v>127</v>
      </c>
      <c r="K77" s="173">
        <v>14</v>
      </c>
      <c r="L77" s="40">
        <v>35</v>
      </c>
      <c r="M77" s="4">
        <f t="shared" si="2"/>
        <v>0.4</v>
      </c>
      <c r="N77" s="3" t="s">
        <v>58</v>
      </c>
      <c r="O77" s="264" t="s">
        <v>76</v>
      </c>
      <c r="P77" s="22" t="s">
        <v>10</v>
      </c>
      <c r="Q77" s="142"/>
    </row>
    <row r="78" spans="1:17">
      <c r="A78" s="12">
        <v>77</v>
      </c>
      <c r="B78" s="22" t="s">
        <v>244</v>
      </c>
      <c r="C78" s="40" t="s">
        <v>245</v>
      </c>
      <c r="D78" s="40" t="s">
        <v>246</v>
      </c>
      <c r="E78" s="43" t="s">
        <v>99</v>
      </c>
      <c r="F78" s="40" t="s">
        <v>154</v>
      </c>
      <c r="G78" s="184">
        <v>9</v>
      </c>
      <c r="H78" s="40">
        <v>9</v>
      </c>
      <c r="I78" s="40"/>
      <c r="J78" s="40" t="s">
        <v>127</v>
      </c>
      <c r="K78" s="173">
        <v>10</v>
      </c>
      <c r="L78" s="40">
        <v>35</v>
      </c>
      <c r="M78" s="4">
        <f t="shared" si="2"/>
        <v>0.2857142857142857</v>
      </c>
      <c r="N78" s="3" t="s">
        <v>58</v>
      </c>
      <c r="O78" s="264" t="s">
        <v>76</v>
      </c>
      <c r="P78" s="22" t="s">
        <v>10</v>
      </c>
      <c r="Q78" s="142"/>
    </row>
    <row r="79" spans="1:17">
      <c r="A79" s="12">
        <v>78</v>
      </c>
      <c r="B79" s="22" t="s">
        <v>230</v>
      </c>
      <c r="C79" s="40" t="s">
        <v>200</v>
      </c>
      <c r="D79" s="40" t="s">
        <v>210</v>
      </c>
      <c r="E79" s="43" t="s">
        <v>100</v>
      </c>
      <c r="F79" s="40" t="s">
        <v>154</v>
      </c>
      <c r="G79" s="184">
        <v>9</v>
      </c>
      <c r="H79" s="40">
        <v>9</v>
      </c>
      <c r="I79" s="40"/>
      <c r="J79" s="40" t="s">
        <v>127</v>
      </c>
      <c r="K79" s="173">
        <v>9</v>
      </c>
      <c r="L79" s="40">
        <v>35</v>
      </c>
      <c r="M79" s="4">
        <f t="shared" si="2"/>
        <v>0.25714285714285712</v>
      </c>
      <c r="N79" s="3" t="s">
        <v>58</v>
      </c>
      <c r="O79" s="264" t="s">
        <v>76</v>
      </c>
      <c r="P79" s="22" t="s">
        <v>10</v>
      </c>
      <c r="Q79" s="142"/>
    </row>
    <row r="80" spans="1:17">
      <c r="A80" s="12">
        <v>79</v>
      </c>
      <c r="B80" s="97" t="s">
        <v>331</v>
      </c>
      <c r="C80" s="97" t="s">
        <v>173</v>
      </c>
      <c r="D80" s="97" t="s">
        <v>223</v>
      </c>
      <c r="E80" s="182" t="s">
        <v>100</v>
      </c>
      <c r="F80" s="40" t="s">
        <v>154</v>
      </c>
      <c r="G80" s="184">
        <v>9</v>
      </c>
      <c r="H80" s="40">
        <v>9</v>
      </c>
      <c r="I80" s="5"/>
      <c r="J80" s="40" t="s">
        <v>127</v>
      </c>
      <c r="K80" s="257">
        <v>7</v>
      </c>
      <c r="L80" s="40">
        <v>35</v>
      </c>
      <c r="M80" s="99">
        <f t="shared" si="2"/>
        <v>0.2</v>
      </c>
      <c r="N80" s="3" t="s">
        <v>58</v>
      </c>
      <c r="O80" s="264" t="s">
        <v>76</v>
      </c>
      <c r="P80" s="22" t="s">
        <v>10</v>
      </c>
      <c r="Q80" s="142"/>
    </row>
    <row r="81" spans="1:17">
      <c r="A81" s="12">
        <v>80</v>
      </c>
      <c r="B81" s="22" t="s">
        <v>655</v>
      </c>
      <c r="C81" s="40" t="s">
        <v>654</v>
      </c>
      <c r="D81" s="40" t="s">
        <v>233</v>
      </c>
      <c r="E81" s="261" t="s">
        <v>100</v>
      </c>
      <c r="F81" s="40" t="s">
        <v>154</v>
      </c>
      <c r="G81" s="184">
        <v>9</v>
      </c>
      <c r="H81" s="40">
        <v>9</v>
      </c>
      <c r="I81" s="40"/>
      <c r="J81" s="40" t="s">
        <v>127</v>
      </c>
      <c r="K81" s="173">
        <v>5</v>
      </c>
      <c r="L81" s="40">
        <v>35</v>
      </c>
      <c r="M81" s="4">
        <f t="shared" si="2"/>
        <v>0.14285714285714285</v>
      </c>
      <c r="N81" s="3" t="s">
        <v>58</v>
      </c>
      <c r="O81" s="264" t="s">
        <v>76</v>
      </c>
      <c r="P81" s="22" t="s">
        <v>10</v>
      </c>
      <c r="Q81" s="142"/>
    </row>
    <row r="82" spans="1:17">
      <c r="A82" s="12">
        <v>81</v>
      </c>
      <c r="B82" s="97" t="s">
        <v>182</v>
      </c>
      <c r="C82" s="97" t="s">
        <v>238</v>
      </c>
      <c r="D82" s="97" t="s">
        <v>198</v>
      </c>
      <c r="E82" s="182" t="s">
        <v>100</v>
      </c>
      <c r="F82" s="40" t="s">
        <v>154</v>
      </c>
      <c r="G82" s="184">
        <v>9</v>
      </c>
      <c r="H82" s="40">
        <v>9</v>
      </c>
      <c r="I82" s="5"/>
      <c r="J82" s="40" t="s">
        <v>127</v>
      </c>
      <c r="K82" s="257">
        <v>2</v>
      </c>
      <c r="L82" s="40">
        <v>35</v>
      </c>
      <c r="M82" s="99">
        <f t="shared" si="2"/>
        <v>5.7142857142857141E-2</v>
      </c>
      <c r="N82" s="3" t="s">
        <v>58</v>
      </c>
      <c r="O82" s="264" t="s">
        <v>76</v>
      </c>
      <c r="P82" s="22" t="s">
        <v>10</v>
      </c>
      <c r="Q82" s="142"/>
    </row>
    <row r="83" spans="1:17">
      <c r="A83" s="12">
        <v>82</v>
      </c>
      <c r="B83" s="22" t="s">
        <v>453</v>
      </c>
      <c r="C83" s="40" t="s">
        <v>440</v>
      </c>
      <c r="D83" s="40" t="s">
        <v>246</v>
      </c>
      <c r="E83" s="261" t="s">
        <v>99</v>
      </c>
      <c r="F83" s="40" t="s">
        <v>154</v>
      </c>
      <c r="G83" s="184">
        <v>9</v>
      </c>
      <c r="H83" s="40">
        <v>9</v>
      </c>
      <c r="I83" s="40"/>
      <c r="J83" s="40" t="s">
        <v>127</v>
      </c>
      <c r="K83" s="173">
        <v>2</v>
      </c>
      <c r="L83" s="40">
        <v>35</v>
      </c>
      <c r="M83" s="4">
        <f t="shared" si="2"/>
        <v>5.7142857142857141E-2</v>
      </c>
      <c r="N83" s="3" t="s">
        <v>58</v>
      </c>
      <c r="O83" s="264" t="s">
        <v>76</v>
      </c>
      <c r="P83" s="22" t="s">
        <v>10</v>
      </c>
      <c r="Q83" s="142"/>
    </row>
    <row r="84" spans="1:17">
      <c r="A84" s="12">
        <v>83</v>
      </c>
      <c r="B84" s="97" t="s">
        <v>239</v>
      </c>
      <c r="C84" s="97" t="s">
        <v>229</v>
      </c>
      <c r="D84" s="97" t="s">
        <v>240</v>
      </c>
      <c r="E84" s="73" t="s">
        <v>100</v>
      </c>
      <c r="F84" s="40" t="s">
        <v>154</v>
      </c>
      <c r="G84" s="184">
        <v>9</v>
      </c>
      <c r="H84" s="40">
        <v>9</v>
      </c>
      <c r="I84" s="52"/>
      <c r="J84" s="40" t="s">
        <v>127</v>
      </c>
      <c r="K84" s="263">
        <v>2</v>
      </c>
      <c r="L84" s="40">
        <v>35</v>
      </c>
      <c r="M84" s="99">
        <f t="shared" si="2"/>
        <v>5.7142857142857141E-2</v>
      </c>
      <c r="N84" s="3" t="s">
        <v>58</v>
      </c>
      <c r="O84" s="264" t="s">
        <v>76</v>
      </c>
      <c r="P84" s="22" t="s">
        <v>10</v>
      </c>
      <c r="Q84" s="142"/>
    </row>
    <row r="85" spans="1:17">
      <c r="A85" s="12">
        <v>84</v>
      </c>
      <c r="B85" s="97" t="s">
        <v>454</v>
      </c>
      <c r="C85" s="97" t="s">
        <v>320</v>
      </c>
      <c r="D85" s="97" t="s">
        <v>246</v>
      </c>
      <c r="E85" s="182" t="s">
        <v>99</v>
      </c>
      <c r="F85" s="40" t="s">
        <v>154</v>
      </c>
      <c r="G85" s="184">
        <v>9</v>
      </c>
      <c r="H85" s="40">
        <v>9</v>
      </c>
      <c r="I85" s="47"/>
      <c r="J85" s="40" t="s">
        <v>127</v>
      </c>
      <c r="K85" s="256">
        <v>0</v>
      </c>
      <c r="L85" s="40">
        <v>35</v>
      </c>
      <c r="M85" s="99">
        <f t="shared" si="2"/>
        <v>0</v>
      </c>
      <c r="N85" s="3" t="s">
        <v>58</v>
      </c>
      <c r="O85" s="264" t="s">
        <v>76</v>
      </c>
      <c r="P85" s="22" t="s">
        <v>10</v>
      </c>
      <c r="Q85" s="142"/>
    </row>
    <row r="86" spans="1:17">
      <c r="A86" s="12">
        <v>85</v>
      </c>
      <c r="B86" s="97" t="s">
        <v>251</v>
      </c>
      <c r="C86" s="97" t="s">
        <v>177</v>
      </c>
      <c r="D86" s="97" t="s">
        <v>252</v>
      </c>
      <c r="E86" s="73" t="s">
        <v>100</v>
      </c>
      <c r="F86" s="40" t="s">
        <v>154</v>
      </c>
      <c r="G86" s="184">
        <v>9</v>
      </c>
      <c r="H86" s="40">
        <v>9</v>
      </c>
      <c r="I86" s="52"/>
      <c r="J86" s="40" t="s">
        <v>127</v>
      </c>
      <c r="K86" s="263">
        <v>0</v>
      </c>
      <c r="L86" s="40">
        <v>35</v>
      </c>
      <c r="M86" s="99">
        <f t="shared" si="2"/>
        <v>0</v>
      </c>
      <c r="N86" s="3" t="s">
        <v>58</v>
      </c>
      <c r="O86" s="264" t="s">
        <v>76</v>
      </c>
      <c r="P86" s="22" t="s">
        <v>10</v>
      </c>
      <c r="Q86" s="142"/>
    </row>
    <row r="87" spans="1:17">
      <c r="A87" s="12">
        <v>86</v>
      </c>
      <c r="B87" s="97" t="s">
        <v>224</v>
      </c>
      <c r="C87" s="97" t="s">
        <v>225</v>
      </c>
      <c r="D87" s="97" t="s">
        <v>174</v>
      </c>
      <c r="E87" s="183" t="s">
        <v>100</v>
      </c>
      <c r="F87" s="103" t="s">
        <v>154</v>
      </c>
      <c r="G87" s="191">
        <v>9</v>
      </c>
      <c r="H87" s="103">
        <v>9</v>
      </c>
      <c r="I87" s="111"/>
      <c r="J87" s="40" t="s">
        <v>127</v>
      </c>
      <c r="K87" s="258">
        <v>0</v>
      </c>
      <c r="L87" s="103">
        <v>35</v>
      </c>
      <c r="M87" s="259">
        <f t="shared" si="2"/>
        <v>0</v>
      </c>
      <c r="N87" s="3" t="s">
        <v>58</v>
      </c>
      <c r="O87" s="264" t="s">
        <v>76</v>
      </c>
      <c r="P87" s="22" t="s">
        <v>10</v>
      </c>
      <c r="Q87" s="142"/>
    </row>
    <row r="88" spans="1:17">
      <c r="A88" s="12">
        <v>87</v>
      </c>
      <c r="B88" s="97" t="s">
        <v>653</v>
      </c>
      <c r="C88" s="97" t="s">
        <v>229</v>
      </c>
      <c r="D88" s="97" t="s">
        <v>205</v>
      </c>
      <c r="E88" s="255" t="s">
        <v>100</v>
      </c>
      <c r="F88" s="40" t="s">
        <v>154</v>
      </c>
      <c r="G88" s="40">
        <v>9</v>
      </c>
      <c r="H88" s="40">
        <v>9</v>
      </c>
      <c r="I88" s="5"/>
      <c r="J88" s="40" t="s">
        <v>127</v>
      </c>
      <c r="K88" s="257">
        <v>0</v>
      </c>
      <c r="L88" s="40">
        <v>35</v>
      </c>
      <c r="M88" s="4">
        <f t="shared" si="2"/>
        <v>0</v>
      </c>
      <c r="N88" s="3" t="s">
        <v>58</v>
      </c>
      <c r="O88" s="264" t="s">
        <v>76</v>
      </c>
      <c r="P88" s="22" t="s">
        <v>10</v>
      </c>
      <c r="Q88" s="142"/>
    </row>
    <row r="89" spans="1:17">
      <c r="A89" s="12">
        <v>88</v>
      </c>
      <c r="B89" s="97" t="s">
        <v>342</v>
      </c>
      <c r="C89" s="97" t="s">
        <v>343</v>
      </c>
      <c r="D89" s="97" t="s">
        <v>344</v>
      </c>
      <c r="E89" s="255" t="s">
        <v>99</v>
      </c>
      <c r="F89" s="40" t="s">
        <v>154</v>
      </c>
      <c r="G89" s="40">
        <v>9</v>
      </c>
      <c r="H89" s="40">
        <v>9</v>
      </c>
      <c r="I89" s="5"/>
      <c r="J89" s="40" t="s">
        <v>127</v>
      </c>
      <c r="K89" s="257">
        <v>0</v>
      </c>
      <c r="L89" s="40">
        <v>35</v>
      </c>
      <c r="M89" s="4">
        <f t="shared" si="2"/>
        <v>0</v>
      </c>
      <c r="N89" s="3" t="s">
        <v>58</v>
      </c>
      <c r="O89" s="264" t="s">
        <v>76</v>
      </c>
      <c r="P89" s="22" t="s">
        <v>10</v>
      </c>
      <c r="Q89" s="142"/>
    </row>
    <row r="90" spans="1:17">
      <c r="A90" s="12">
        <v>89</v>
      </c>
      <c r="B90" s="22" t="s">
        <v>652</v>
      </c>
      <c r="C90" s="22" t="s">
        <v>173</v>
      </c>
      <c r="D90" s="22" t="s">
        <v>210</v>
      </c>
      <c r="E90" s="190" t="s">
        <v>100</v>
      </c>
      <c r="F90" s="12" t="s">
        <v>154</v>
      </c>
      <c r="G90" s="12">
        <v>10</v>
      </c>
      <c r="H90" s="12">
        <v>10</v>
      </c>
      <c r="I90" s="23"/>
      <c r="J90" s="40" t="s">
        <v>127</v>
      </c>
      <c r="K90" s="12">
        <v>16</v>
      </c>
      <c r="L90" s="12">
        <v>35</v>
      </c>
      <c r="M90" s="4">
        <f t="shared" ref="M90:M96" si="3">K90/L90</f>
        <v>0.45714285714285713</v>
      </c>
      <c r="N90" s="3" t="s">
        <v>50</v>
      </c>
      <c r="O90" s="264" t="s">
        <v>76</v>
      </c>
      <c r="P90" s="22" t="s">
        <v>10</v>
      </c>
      <c r="Q90" s="142"/>
    </row>
    <row r="91" spans="1:17">
      <c r="A91" s="12">
        <v>90</v>
      </c>
      <c r="B91" s="22" t="s">
        <v>520</v>
      </c>
      <c r="C91" s="22" t="s">
        <v>367</v>
      </c>
      <c r="D91" s="22" t="s">
        <v>357</v>
      </c>
      <c r="E91" s="22" t="s">
        <v>99</v>
      </c>
      <c r="F91" s="12" t="s">
        <v>154</v>
      </c>
      <c r="G91" s="12">
        <v>10</v>
      </c>
      <c r="H91" s="12">
        <v>10</v>
      </c>
      <c r="I91" s="23"/>
      <c r="J91" s="40" t="s">
        <v>127</v>
      </c>
      <c r="K91" s="12">
        <v>12</v>
      </c>
      <c r="L91" s="12">
        <v>35</v>
      </c>
      <c r="M91" s="4">
        <f t="shared" si="3"/>
        <v>0.34285714285714286</v>
      </c>
      <c r="N91" s="3" t="s">
        <v>58</v>
      </c>
      <c r="O91" s="264" t="s">
        <v>76</v>
      </c>
      <c r="P91" s="22" t="s">
        <v>10</v>
      </c>
      <c r="Q91" s="142"/>
    </row>
    <row r="92" spans="1:17">
      <c r="A92" s="12">
        <v>91</v>
      </c>
      <c r="B92" s="22" t="s">
        <v>424</v>
      </c>
      <c r="C92" s="22" t="s">
        <v>425</v>
      </c>
      <c r="D92" s="22" t="s">
        <v>426</v>
      </c>
      <c r="E92" s="22" t="s">
        <v>100</v>
      </c>
      <c r="F92" s="12" t="s">
        <v>154</v>
      </c>
      <c r="G92" s="12">
        <v>10</v>
      </c>
      <c r="H92" s="12">
        <v>10</v>
      </c>
      <c r="I92" s="23"/>
      <c r="J92" s="40" t="s">
        <v>127</v>
      </c>
      <c r="K92" s="12">
        <v>10</v>
      </c>
      <c r="L92" s="12">
        <v>35</v>
      </c>
      <c r="M92" s="4">
        <f t="shared" si="3"/>
        <v>0.2857142857142857</v>
      </c>
      <c r="N92" s="3" t="s">
        <v>58</v>
      </c>
      <c r="O92" s="264" t="s">
        <v>76</v>
      </c>
      <c r="P92" s="22" t="s">
        <v>10</v>
      </c>
      <c r="Q92" s="142"/>
    </row>
    <row r="93" spans="1:17">
      <c r="A93" s="12">
        <v>92</v>
      </c>
      <c r="B93" s="22" t="s">
        <v>416</v>
      </c>
      <c r="C93" s="22" t="s">
        <v>229</v>
      </c>
      <c r="D93" s="22" t="s">
        <v>240</v>
      </c>
      <c r="E93" s="22" t="s">
        <v>100</v>
      </c>
      <c r="F93" s="12" t="s">
        <v>154</v>
      </c>
      <c r="G93" s="12">
        <v>10</v>
      </c>
      <c r="H93" s="12">
        <v>10</v>
      </c>
      <c r="I93" s="23"/>
      <c r="J93" s="40" t="s">
        <v>127</v>
      </c>
      <c r="K93" s="12">
        <v>10</v>
      </c>
      <c r="L93" s="12">
        <v>35</v>
      </c>
      <c r="M93" s="4">
        <f t="shared" si="3"/>
        <v>0.2857142857142857</v>
      </c>
      <c r="N93" s="3" t="s">
        <v>58</v>
      </c>
      <c r="O93" s="264" t="s">
        <v>76</v>
      </c>
      <c r="P93" s="22" t="s">
        <v>10</v>
      </c>
      <c r="Q93" s="142"/>
    </row>
    <row r="94" spans="1:17">
      <c r="A94" s="12">
        <v>93</v>
      </c>
      <c r="B94" s="22" t="s">
        <v>412</v>
      </c>
      <c r="C94" s="22" t="s">
        <v>413</v>
      </c>
      <c r="D94" s="22" t="s">
        <v>235</v>
      </c>
      <c r="E94" s="22" t="s">
        <v>100</v>
      </c>
      <c r="F94" s="12" t="s">
        <v>154</v>
      </c>
      <c r="G94" s="12">
        <v>10</v>
      </c>
      <c r="H94" s="12">
        <v>10</v>
      </c>
      <c r="I94" s="23"/>
      <c r="J94" s="40" t="s">
        <v>127</v>
      </c>
      <c r="K94" s="12">
        <v>7</v>
      </c>
      <c r="L94" s="12">
        <v>35</v>
      </c>
      <c r="M94" s="4">
        <f t="shared" si="3"/>
        <v>0.2</v>
      </c>
      <c r="N94" s="3" t="s">
        <v>58</v>
      </c>
      <c r="O94" s="264" t="s">
        <v>76</v>
      </c>
      <c r="P94" s="22" t="s">
        <v>10</v>
      </c>
      <c r="Q94" s="142"/>
    </row>
    <row r="95" spans="1:17">
      <c r="A95" s="12">
        <v>94</v>
      </c>
      <c r="B95" s="22" t="s">
        <v>540</v>
      </c>
      <c r="C95" s="22" t="s">
        <v>326</v>
      </c>
      <c r="D95" s="22" t="s">
        <v>216</v>
      </c>
      <c r="E95" s="22" t="s">
        <v>99</v>
      </c>
      <c r="F95" s="12" t="s">
        <v>154</v>
      </c>
      <c r="G95" s="12">
        <v>10</v>
      </c>
      <c r="H95" s="12">
        <v>10</v>
      </c>
      <c r="I95" s="23"/>
      <c r="J95" s="40" t="s">
        <v>127</v>
      </c>
      <c r="K95" s="12">
        <v>4</v>
      </c>
      <c r="L95" s="12">
        <v>35</v>
      </c>
      <c r="M95" s="4">
        <f t="shared" si="3"/>
        <v>0.11428571428571428</v>
      </c>
      <c r="N95" s="3" t="s">
        <v>58</v>
      </c>
      <c r="O95" s="264" t="s">
        <v>76</v>
      </c>
      <c r="P95" s="22" t="s">
        <v>10</v>
      </c>
      <c r="Q95" s="142"/>
    </row>
    <row r="96" spans="1:17">
      <c r="A96" s="12">
        <v>95</v>
      </c>
      <c r="B96" s="22" t="s">
        <v>419</v>
      </c>
      <c r="C96" s="22" t="s">
        <v>420</v>
      </c>
      <c r="D96" s="22" t="s">
        <v>175</v>
      </c>
      <c r="E96" s="22" t="s">
        <v>100</v>
      </c>
      <c r="F96" s="12" t="s">
        <v>154</v>
      </c>
      <c r="G96" s="12">
        <v>10</v>
      </c>
      <c r="H96" s="12">
        <v>10</v>
      </c>
      <c r="I96" s="23"/>
      <c r="J96" s="40" t="s">
        <v>127</v>
      </c>
      <c r="K96" s="12">
        <v>2</v>
      </c>
      <c r="L96" s="12">
        <v>35</v>
      </c>
      <c r="M96" s="4">
        <f t="shared" si="3"/>
        <v>5.7142857142857141E-2</v>
      </c>
      <c r="N96" s="3" t="s">
        <v>58</v>
      </c>
      <c r="O96" s="264" t="s">
        <v>76</v>
      </c>
      <c r="P96" s="22" t="s">
        <v>10</v>
      </c>
      <c r="Q96" s="142"/>
    </row>
    <row r="97" spans="1:17">
      <c r="A97" s="12">
        <v>96</v>
      </c>
      <c r="B97" s="97" t="s">
        <v>539</v>
      </c>
      <c r="C97" s="97" t="s">
        <v>188</v>
      </c>
      <c r="D97" s="97" t="s">
        <v>357</v>
      </c>
      <c r="E97" s="239" t="s">
        <v>99</v>
      </c>
      <c r="F97" s="40" t="s">
        <v>154</v>
      </c>
      <c r="G97" s="257">
        <v>11</v>
      </c>
      <c r="H97" s="257">
        <v>11</v>
      </c>
      <c r="I97" s="40"/>
      <c r="J97" s="40" t="s">
        <v>127</v>
      </c>
      <c r="K97" s="257">
        <v>2</v>
      </c>
      <c r="L97" s="257">
        <v>17</v>
      </c>
      <c r="M97" s="4">
        <f t="shared" ref="M97:M103" si="4">K97/L97</f>
        <v>0.11764705882352941</v>
      </c>
      <c r="N97" s="3" t="s">
        <v>58</v>
      </c>
      <c r="O97" s="264" t="s">
        <v>76</v>
      </c>
      <c r="P97" s="22" t="s">
        <v>10</v>
      </c>
      <c r="Q97" s="142"/>
    </row>
    <row r="98" spans="1:17">
      <c r="A98" s="12">
        <v>97</v>
      </c>
      <c r="B98" s="97" t="s">
        <v>179</v>
      </c>
      <c r="C98" s="97" t="s">
        <v>274</v>
      </c>
      <c r="D98" s="97" t="s">
        <v>181</v>
      </c>
      <c r="E98" s="239" t="s">
        <v>99</v>
      </c>
      <c r="F98" s="40" t="s">
        <v>154</v>
      </c>
      <c r="G98" s="257">
        <v>11</v>
      </c>
      <c r="H98" s="257">
        <v>11</v>
      </c>
      <c r="I98" s="40"/>
      <c r="J98" s="40" t="s">
        <v>127</v>
      </c>
      <c r="K98" s="257">
        <v>2</v>
      </c>
      <c r="L98" s="257">
        <v>17</v>
      </c>
      <c r="M98" s="4">
        <f t="shared" si="4"/>
        <v>0.11764705882352941</v>
      </c>
      <c r="N98" s="3" t="s">
        <v>58</v>
      </c>
      <c r="O98" s="264" t="s">
        <v>76</v>
      </c>
      <c r="P98" s="22" t="s">
        <v>10</v>
      </c>
      <c r="Q98" s="142"/>
    </row>
    <row r="99" spans="1:17">
      <c r="A99" s="12">
        <v>98</v>
      </c>
      <c r="B99" s="97" t="s">
        <v>592</v>
      </c>
      <c r="C99" s="97" t="s">
        <v>237</v>
      </c>
      <c r="D99" s="97" t="s">
        <v>519</v>
      </c>
      <c r="E99" s="239" t="s">
        <v>100</v>
      </c>
      <c r="F99" s="40" t="s">
        <v>154</v>
      </c>
      <c r="G99" s="257">
        <v>11</v>
      </c>
      <c r="H99" s="257">
        <v>11</v>
      </c>
      <c r="I99" s="40"/>
      <c r="J99" s="40" t="s">
        <v>127</v>
      </c>
      <c r="K99" s="257">
        <v>2</v>
      </c>
      <c r="L99" s="257">
        <v>17</v>
      </c>
      <c r="M99" s="4">
        <f t="shared" si="4"/>
        <v>0.11764705882352941</v>
      </c>
      <c r="N99" s="3" t="s">
        <v>58</v>
      </c>
      <c r="O99" s="264" t="s">
        <v>76</v>
      </c>
      <c r="P99" s="22" t="s">
        <v>10</v>
      </c>
      <c r="Q99" s="142"/>
    </row>
    <row r="100" spans="1:17">
      <c r="A100" s="12">
        <v>99</v>
      </c>
      <c r="B100" s="97" t="s">
        <v>450</v>
      </c>
      <c r="C100" s="97" t="s">
        <v>458</v>
      </c>
      <c r="D100" s="97" t="s">
        <v>651</v>
      </c>
      <c r="E100" s="239" t="s">
        <v>100</v>
      </c>
      <c r="F100" s="40" t="s">
        <v>154</v>
      </c>
      <c r="G100" s="257">
        <v>11</v>
      </c>
      <c r="H100" s="257">
        <v>11</v>
      </c>
      <c r="I100" s="40"/>
      <c r="J100" s="40" t="s">
        <v>127</v>
      </c>
      <c r="K100" s="257">
        <v>1</v>
      </c>
      <c r="L100" s="257">
        <v>17</v>
      </c>
      <c r="M100" s="4">
        <f t="shared" si="4"/>
        <v>5.8823529411764705E-2</v>
      </c>
      <c r="N100" s="3" t="s">
        <v>58</v>
      </c>
      <c r="O100" s="264" t="s">
        <v>76</v>
      </c>
      <c r="P100" s="22" t="s">
        <v>10</v>
      </c>
      <c r="Q100" s="142"/>
    </row>
    <row r="101" spans="1:17">
      <c r="A101" s="12">
        <v>100</v>
      </c>
      <c r="B101" s="97" t="s">
        <v>535</v>
      </c>
      <c r="C101" s="97" t="s">
        <v>367</v>
      </c>
      <c r="D101" s="97" t="s">
        <v>536</v>
      </c>
      <c r="E101" s="239" t="s">
        <v>99</v>
      </c>
      <c r="F101" s="40" t="s">
        <v>154</v>
      </c>
      <c r="G101" s="257">
        <v>11</v>
      </c>
      <c r="H101" s="257">
        <v>11</v>
      </c>
      <c r="I101" s="40"/>
      <c r="J101" s="40" t="s">
        <v>127</v>
      </c>
      <c r="K101" s="257">
        <v>1</v>
      </c>
      <c r="L101" s="257">
        <v>17</v>
      </c>
      <c r="M101" s="4">
        <f t="shared" si="4"/>
        <v>5.8823529411764705E-2</v>
      </c>
      <c r="N101" s="3" t="s">
        <v>58</v>
      </c>
      <c r="O101" s="264" t="s">
        <v>76</v>
      </c>
      <c r="P101" s="22" t="s">
        <v>10</v>
      </c>
      <c r="Q101" s="142"/>
    </row>
    <row r="102" spans="1:17">
      <c r="A102" s="12">
        <v>101</v>
      </c>
      <c r="B102" s="97" t="s">
        <v>275</v>
      </c>
      <c r="C102" s="97" t="s">
        <v>215</v>
      </c>
      <c r="D102" s="97" t="s">
        <v>216</v>
      </c>
      <c r="E102" s="239" t="s">
        <v>99</v>
      </c>
      <c r="F102" s="40" t="s">
        <v>154</v>
      </c>
      <c r="G102" s="257">
        <v>11</v>
      </c>
      <c r="H102" s="257">
        <v>11</v>
      </c>
      <c r="I102" s="40"/>
      <c r="J102" s="40" t="s">
        <v>127</v>
      </c>
      <c r="K102" s="257">
        <v>1</v>
      </c>
      <c r="L102" s="257">
        <v>17</v>
      </c>
      <c r="M102" s="4">
        <f t="shared" si="4"/>
        <v>5.8823529411764705E-2</v>
      </c>
      <c r="N102" s="3" t="s">
        <v>58</v>
      </c>
      <c r="O102" s="264" t="s">
        <v>76</v>
      </c>
      <c r="P102" s="22" t="s">
        <v>10</v>
      </c>
      <c r="Q102" s="142"/>
    </row>
    <row r="103" spans="1:17">
      <c r="A103" s="12">
        <v>102</v>
      </c>
      <c r="B103" s="97" t="s">
        <v>348</v>
      </c>
      <c r="C103" s="97" t="s">
        <v>227</v>
      </c>
      <c r="D103" s="97" t="s">
        <v>195</v>
      </c>
      <c r="E103" s="239" t="s">
        <v>100</v>
      </c>
      <c r="F103" s="40" t="s">
        <v>154</v>
      </c>
      <c r="G103" s="257">
        <v>11</v>
      </c>
      <c r="H103" s="257">
        <v>11</v>
      </c>
      <c r="I103" s="40"/>
      <c r="J103" s="40" t="s">
        <v>127</v>
      </c>
      <c r="K103" s="257">
        <v>1</v>
      </c>
      <c r="L103" s="257">
        <v>17</v>
      </c>
      <c r="M103" s="4">
        <f t="shared" si="4"/>
        <v>5.8823529411764705E-2</v>
      </c>
      <c r="N103" s="3" t="s">
        <v>58</v>
      </c>
      <c r="O103" s="264" t="s">
        <v>76</v>
      </c>
      <c r="P103" s="22" t="s">
        <v>10</v>
      </c>
      <c r="Q103" s="142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97:E103 E2:E89">
      <formula1>Пол</formula1>
    </dataValidation>
    <dataValidation type="list" allowBlank="1" showInputMessage="1" showErrorMessage="1" sqref="I97:I103 I2:I89">
      <formula1>Специализированные_классы</formula1>
    </dataValidation>
    <dataValidation type="list" allowBlank="1" showInputMessage="1" showErrorMessage="1" sqref="F97:F103 F2:F89">
      <formula1>ОУ</formula1>
    </dataValidation>
    <dataValidation type="list" allowBlank="1" showInputMessage="1" showErrorMessage="1" sqref="J2:J103">
      <formula1>ОВЗ</formula1>
    </dataValidation>
    <dataValidation type="list" allowBlank="1" showInputMessage="1" showErrorMessage="1" sqref="N2:N103">
      <formula1>Статус</formula1>
    </dataValidation>
    <dataValidation type="list" allowBlank="1" showInputMessage="1" showErrorMessage="1" sqref="O2:O103">
      <formula1>Район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/>
  <dimension ref="A1:Q52"/>
  <sheetViews>
    <sheetView workbookViewId="0">
      <selection activeCell="K27" sqref="K2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5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/>
      <c r="B2" s="40"/>
      <c r="C2" s="40"/>
      <c r="D2" s="40"/>
      <c r="E2" s="43"/>
      <c r="F2" s="40"/>
      <c r="G2" s="184"/>
      <c r="H2" s="40"/>
      <c r="I2" s="40"/>
      <c r="J2" s="40"/>
      <c r="K2" s="173"/>
      <c r="L2" s="40"/>
      <c r="M2" s="4" t="e">
        <f t="shared" ref="M2:M20" si="0">K2/L2</f>
        <v>#DIV/0!</v>
      </c>
      <c r="N2" s="40"/>
      <c r="O2" s="40" t="s">
        <v>76</v>
      </c>
      <c r="P2" s="22" t="s">
        <v>15</v>
      </c>
      <c r="Q2" s="142"/>
    </row>
    <row r="3" spans="1:17">
      <c r="A3" s="43"/>
      <c r="B3" s="40"/>
      <c r="C3" s="40"/>
      <c r="D3" s="40"/>
      <c r="E3" s="43"/>
      <c r="F3" s="40"/>
      <c r="G3" s="184"/>
      <c r="H3" s="40"/>
      <c r="I3" s="40"/>
      <c r="J3" s="40"/>
      <c r="K3" s="173"/>
      <c r="L3" s="40"/>
      <c r="M3" s="4" t="e">
        <f t="shared" si="0"/>
        <v>#DIV/0!</v>
      </c>
      <c r="N3" s="40"/>
      <c r="O3" s="40" t="s">
        <v>76</v>
      </c>
      <c r="P3" s="22" t="s">
        <v>15</v>
      </c>
      <c r="Q3" s="142"/>
    </row>
    <row r="4" spans="1:17" ht="12.75" customHeight="1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4" t="e">
        <f t="shared" si="0"/>
        <v>#DIV/0!</v>
      </c>
      <c r="N4" s="40"/>
      <c r="O4" s="40" t="s">
        <v>76</v>
      </c>
      <c r="P4" s="22" t="s">
        <v>15</v>
      </c>
      <c r="Q4" s="142"/>
    </row>
    <row r="5" spans="1:17" ht="12.75" customHeight="1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4" t="e">
        <f t="shared" si="0"/>
        <v>#DIV/0!</v>
      </c>
      <c r="N5" s="40"/>
      <c r="O5" s="40" t="s">
        <v>76</v>
      </c>
      <c r="P5" s="22" t="s">
        <v>15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15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15</v>
      </c>
      <c r="Q7" s="142"/>
    </row>
    <row r="8" spans="1:17" ht="12.75" customHeight="1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15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15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15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15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15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15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15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15</v>
      </c>
      <c r="Q15" s="142"/>
    </row>
    <row r="16" spans="1:17">
      <c r="A16" s="3"/>
      <c r="B16" s="3"/>
      <c r="C16" s="3"/>
      <c r="D16" s="3"/>
      <c r="E16" s="178"/>
      <c r="F16" s="40"/>
      <c r="G16" s="50"/>
      <c r="H16" s="3"/>
      <c r="I16" s="5"/>
      <c r="J16" s="40"/>
      <c r="K16" s="5"/>
      <c r="L16" s="3"/>
      <c r="M16" s="4" t="e">
        <f t="shared" si="0"/>
        <v>#DIV/0!</v>
      </c>
      <c r="N16" s="38"/>
      <c r="O16" s="40" t="s">
        <v>76</v>
      </c>
      <c r="P16" s="22" t="s">
        <v>15</v>
      </c>
      <c r="Q16" s="142"/>
    </row>
    <row r="17" spans="1:17">
      <c r="A17" s="3"/>
      <c r="B17" s="3"/>
      <c r="C17" s="3"/>
      <c r="D17" s="3"/>
      <c r="E17" s="178"/>
      <c r="F17" s="40"/>
      <c r="G17" s="50"/>
      <c r="H17" s="3"/>
      <c r="I17" s="5"/>
      <c r="J17" s="40"/>
      <c r="K17" s="5"/>
      <c r="L17" s="3"/>
      <c r="M17" s="4" t="e">
        <f t="shared" si="0"/>
        <v>#DIV/0!</v>
      </c>
      <c r="N17" s="38"/>
      <c r="O17" s="40" t="s">
        <v>76</v>
      </c>
      <c r="P17" s="22" t="s">
        <v>15</v>
      </c>
      <c r="Q17" s="142"/>
    </row>
    <row r="18" spans="1:17">
      <c r="A18" s="3"/>
      <c r="B18" s="3"/>
      <c r="C18" s="3"/>
      <c r="D18" s="3"/>
      <c r="E18" s="178"/>
      <c r="F18" s="40"/>
      <c r="G18" s="50"/>
      <c r="H18" s="3"/>
      <c r="I18" s="5"/>
      <c r="J18" s="40"/>
      <c r="K18" s="5"/>
      <c r="L18" s="3"/>
      <c r="M18" s="4" t="e">
        <f t="shared" si="0"/>
        <v>#DIV/0!</v>
      </c>
      <c r="N18" s="38"/>
      <c r="O18" s="40" t="s">
        <v>76</v>
      </c>
      <c r="P18" s="22" t="s">
        <v>15</v>
      </c>
      <c r="Q18" s="142"/>
    </row>
    <row r="19" spans="1:17">
      <c r="A19" s="109"/>
      <c r="B19" s="109"/>
      <c r="C19" s="109"/>
      <c r="D19" s="109"/>
      <c r="E19" s="179"/>
      <c r="F19" s="40"/>
      <c r="G19" s="189"/>
      <c r="H19" s="109"/>
      <c r="I19" s="111"/>
      <c r="J19" s="103"/>
      <c r="K19" s="111"/>
      <c r="L19" s="109"/>
      <c r="M19" s="4" t="e">
        <f t="shared" si="0"/>
        <v>#DIV/0!</v>
      </c>
      <c r="N19" s="113"/>
      <c r="O19" s="40" t="s">
        <v>76</v>
      </c>
      <c r="P19" s="108" t="s">
        <v>15</v>
      </c>
      <c r="Q19" s="142"/>
    </row>
    <row r="20" spans="1:17">
      <c r="A20" s="3"/>
      <c r="B20" s="3"/>
      <c r="C20" s="3"/>
      <c r="D20" s="3"/>
      <c r="E20" s="178"/>
      <c r="F20" s="40"/>
      <c r="G20" s="50"/>
      <c r="H20" s="3"/>
      <c r="I20" s="47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15</v>
      </c>
      <c r="Q20" s="142"/>
    </row>
    <row r="21" spans="1:17">
      <c r="A21" s="72"/>
      <c r="B21" s="72"/>
      <c r="C21" s="72"/>
      <c r="D21" s="72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  <c r="P21" s="26"/>
    </row>
    <row r="22" spans="1:17">
      <c r="A22" s="72"/>
      <c r="B22" s="72"/>
      <c r="C22" s="72"/>
      <c r="D22" s="72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  <c r="P22" s="26"/>
    </row>
    <row r="23" spans="1:17">
      <c r="A23" s="72"/>
      <c r="B23" s="72"/>
      <c r="C23" s="72"/>
      <c r="D23" s="72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  <c r="P23" s="26"/>
    </row>
    <row r="24" spans="1:17">
      <c r="A24" s="72"/>
      <c r="B24" s="72"/>
      <c r="C24" s="72"/>
      <c r="D24" s="72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  <c r="P24" s="26"/>
    </row>
    <row r="25" spans="1:17">
      <c r="A25" s="72"/>
      <c r="B25" s="72"/>
      <c r="C25" s="72"/>
      <c r="D25" s="72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  <c r="P25" s="26"/>
    </row>
    <row r="26" spans="1:17">
      <c r="A26" s="72"/>
      <c r="B26" s="72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2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2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Q52"/>
  <sheetViews>
    <sheetView topLeftCell="B1" workbookViewId="0">
      <selection activeCell="I14" sqref="I14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1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702</v>
      </c>
      <c r="C2" s="40" t="s">
        <v>301</v>
      </c>
      <c r="D2" s="40" t="s">
        <v>319</v>
      </c>
      <c r="E2" s="43" t="s">
        <v>99</v>
      </c>
      <c r="F2" s="40" t="s">
        <v>154</v>
      </c>
      <c r="G2" s="184">
        <v>9</v>
      </c>
      <c r="H2" s="40">
        <v>9</v>
      </c>
      <c r="I2" s="40"/>
      <c r="J2" s="40" t="s">
        <v>127</v>
      </c>
      <c r="K2" s="173">
        <v>45</v>
      </c>
      <c r="L2" s="40">
        <v>180</v>
      </c>
      <c r="M2" s="4">
        <f t="shared" ref="M2:M20" si="0">K2/L2</f>
        <v>0.25</v>
      </c>
      <c r="N2" s="40" t="s">
        <v>58</v>
      </c>
      <c r="O2" s="40" t="s">
        <v>76</v>
      </c>
      <c r="P2" s="22" t="s">
        <v>57</v>
      </c>
      <c r="Q2" s="142"/>
    </row>
    <row r="3" spans="1:17">
      <c r="A3" s="43">
        <v>2</v>
      </c>
      <c r="B3" s="40" t="s">
        <v>703</v>
      </c>
      <c r="C3" s="40" t="s">
        <v>350</v>
      </c>
      <c r="D3" s="40" t="s">
        <v>286</v>
      </c>
      <c r="E3" s="43" t="s">
        <v>99</v>
      </c>
      <c r="F3" s="40" t="s">
        <v>154</v>
      </c>
      <c r="G3" s="184">
        <v>9</v>
      </c>
      <c r="H3" s="40">
        <v>9</v>
      </c>
      <c r="I3" s="40"/>
      <c r="J3" s="40" t="s">
        <v>127</v>
      </c>
      <c r="K3" s="173">
        <v>42</v>
      </c>
      <c r="L3" s="40">
        <v>180</v>
      </c>
      <c r="M3" s="4">
        <f t="shared" si="0"/>
        <v>0.23333333333333334</v>
      </c>
      <c r="N3" s="40" t="s">
        <v>58</v>
      </c>
      <c r="O3" s="40" t="s">
        <v>76</v>
      </c>
      <c r="P3" s="22" t="s">
        <v>57</v>
      </c>
      <c r="Q3" s="142"/>
    </row>
    <row r="4" spans="1:17" ht="12.75" customHeight="1">
      <c r="A4" s="43">
        <v>3</v>
      </c>
      <c r="B4" s="22" t="s">
        <v>701</v>
      </c>
      <c r="C4" s="40" t="s">
        <v>400</v>
      </c>
      <c r="D4" s="40" t="s">
        <v>401</v>
      </c>
      <c r="E4" s="43" t="s">
        <v>100</v>
      </c>
      <c r="F4" s="40" t="s">
        <v>154</v>
      </c>
      <c r="G4" s="184">
        <v>9</v>
      </c>
      <c r="H4" s="40">
        <v>9</v>
      </c>
      <c r="I4" s="40"/>
      <c r="J4" s="40" t="s">
        <v>127</v>
      </c>
      <c r="K4" s="173">
        <v>37</v>
      </c>
      <c r="L4" s="40">
        <v>180</v>
      </c>
      <c r="M4" s="4">
        <f t="shared" si="0"/>
        <v>0.20555555555555555</v>
      </c>
      <c r="N4" s="40" t="s">
        <v>58</v>
      </c>
      <c r="O4" s="40" t="s">
        <v>76</v>
      </c>
      <c r="P4" s="22" t="s">
        <v>57</v>
      </c>
      <c r="Q4" s="142"/>
    </row>
    <row r="5" spans="1:17" ht="12.75" customHeight="1">
      <c r="A5" s="43">
        <v>4</v>
      </c>
      <c r="B5" s="22" t="s">
        <v>704</v>
      </c>
      <c r="C5" s="40" t="s">
        <v>171</v>
      </c>
      <c r="D5" s="40" t="s">
        <v>233</v>
      </c>
      <c r="E5" s="43" t="s">
        <v>100</v>
      </c>
      <c r="F5" s="40" t="s">
        <v>154</v>
      </c>
      <c r="G5" s="184">
        <v>10</v>
      </c>
      <c r="H5" s="40">
        <v>10</v>
      </c>
      <c r="I5" s="40"/>
      <c r="J5" s="40" t="s">
        <v>127</v>
      </c>
      <c r="K5" s="173">
        <v>182</v>
      </c>
      <c r="L5" s="40">
        <v>310</v>
      </c>
      <c r="M5" s="4">
        <f t="shared" si="0"/>
        <v>0.58709677419354833</v>
      </c>
      <c r="N5" s="40" t="s">
        <v>58</v>
      </c>
      <c r="O5" s="40" t="s">
        <v>76</v>
      </c>
      <c r="P5" s="22" t="s">
        <v>57</v>
      </c>
      <c r="Q5" s="142"/>
    </row>
    <row r="6" spans="1:17">
      <c r="A6" s="43">
        <v>5</v>
      </c>
      <c r="B6" s="22" t="s">
        <v>525</v>
      </c>
      <c r="C6" s="40" t="s">
        <v>294</v>
      </c>
      <c r="D6" s="40" t="s">
        <v>175</v>
      </c>
      <c r="E6" s="43" t="s">
        <v>100</v>
      </c>
      <c r="F6" s="40" t="s">
        <v>154</v>
      </c>
      <c r="G6" s="184">
        <v>10</v>
      </c>
      <c r="H6" s="40">
        <v>10</v>
      </c>
      <c r="I6" s="40"/>
      <c r="J6" s="40" t="s">
        <v>127</v>
      </c>
      <c r="K6" s="173">
        <v>140</v>
      </c>
      <c r="L6" s="40">
        <v>310</v>
      </c>
      <c r="M6" s="4">
        <f t="shared" si="0"/>
        <v>0.45161290322580644</v>
      </c>
      <c r="N6" s="40" t="s">
        <v>58</v>
      </c>
      <c r="O6" s="40" t="s">
        <v>76</v>
      </c>
      <c r="P6" s="22" t="s">
        <v>57</v>
      </c>
      <c r="Q6" s="142"/>
    </row>
    <row r="7" spans="1:17">
      <c r="A7" s="43">
        <v>6</v>
      </c>
      <c r="B7" s="22" t="s">
        <v>428</v>
      </c>
      <c r="C7" s="40" t="s">
        <v>429</v>
      </c>
      <c r="D7" s="40" t="s">
        <v>216</v>
      </c>
      <c r="E7" s="43" t="s">
        <v>99</v>
      </c>
      <c r="F7" s="40" t="s">
        <v>154</v>
      </c>
      <c r="G7" s="184">
        <v>11</v>
      </c>
      <c r="H7" s="40">
        <v>11</v>
      </c>
      <c r="I7" s="40"/>
      <c r="J7" s="40" t="s">
        <v>127</v>
      </c>
      <c r="K7" s="173">
        <v>201</v>
      </c>
      <c r="L7" s="40">
        <v>310</v>
      </c>
      <c r="M7" s="4">
        <f t="shared" si="0"/>
        <v>0.64838709677419359</v>
      </c>
      <c r="N7" s="40" t="s">
        <v>58</v>
      </c>
      <c r="O7" s="40" t="s">
        <v>76</v>
      </c>
      <c r="P7" s="22" t="s">
        <v>57</v>
      </c>
      <c r="Q7" s="142"/>
    </row>
    <row r="8" spans="1:17" ht="12.75" customHeight="1">
      <c r="A8" s="43">
        <v>7</v>
      </c>
      <c r="B8" s="22" t="s">
        <v>397</v>
      </c>
      <c r="C8" s="40" t="s">
        <v>215</v>
      </c>
      <c r="D8" s="40" t="s">
        <v>357</v>
      </c>
      <c r="E8" s="43" t="s">
        <v>99</v>
      </c>
      <c r="F8" s="40" t="s">
        <v>154</v>
      </c>
      <c r="G8" s="184">
        <v>11</v>
      </c>
      <c r="H8" s="40">
        <v>11</v>
      </c>
      <c r="I8" s="40"/>
      <c r="J8" s="40" t="s">
        <v>127</v>
      </c>
      <c r="K8" s="173">
        <v>178</v>
      </c>
      <c r="L8" s="40">
        <v>310</v>
      </c>
      <c r="M8" s="4">
        <f t="shared" si="0"/>
        <v>0.5741935483870968</v>
      </c>
      <c r="N8" s="40" t="s">
        <v>58</v>
      </c>
      <c r="O8" s="40" t="s">
        <v>76</v>
      </c>
      <c r="P8" s="22" t="s">
        <v>57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57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57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57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57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57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57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57</v>
      </c>
      <c r="Q15" s="142"/>
    </row>
    <row r="16" spans="1:17">
      <c r="A16" s="3"/>
      <c r="B16" s="21"/>
      <c r="C16" s="21"/>
      <c r="D16" s="21"/>
      <c r="E16" s="178"/>
      <c r="F16" s="40"/>
      <c r="G16" s="192"/>
      <c r="H16" s="21"/>
      <c r="I16" s="5"/>
      <c r="J16" s="40"/>
      <c r="K16" s="5"/>
      <c r="L16" s="21"/>
      <c r="M16" s="4" t="e">
        <f t="shared" si="0"/>
        <v>#DIV/0!</v>
      </c>
      <c r="N16" s="38"/>
      <c r="O16" s="40" t="s">
        <v>76</v>
      </c>
      <c r="P16" s="22" t="s">
        <v>57</v>
      </c>
      <c r="Q16" s="142"/>
    </row>
    <row r="17" spans="1:17">
      <c r="A17" s="3"/>
      <c r="B17" s="21"/>
      <c r="C17" s="21"/>
      <c r="D17" s="21"/>
      <c r="E17" s="178"/>
      <c r="F17" s="40"/>
      <c r="G17" s="192"/>
      <c r="H17" s="21"/>
      <c r="I17" s="5"/>
      <c r="J17" s="40"/>
      <c r="K17" s="5"/>
      <c r="L17" s="21"/>
      <c r="M17" s="4" t="e">
        <f t="shared" si="0"/>
        <v>#DIV/0!</v>
      </c>
      <c r="N17" s="38"/>
      <c r="O17" s="40" t="s">
        <v>76</v>
      </c>
      <c r="P17" s="22" t="s">
        <v>57</v>
      </c>
      <c r="Q17" s="142"/>
    </row>
    <row r="18" spans="1:17">
      <c r="A18" s="3"/>
      <c r="B18" s="21"/>
      <c r="C18" s="21"/>
      <c r="D18" s="21"/>
      <c r="E18" s="178"/>
      <c r="F18" s="40"/>
      <c r="G18" s="192"/>
      <c r="H18" s="21"/>
      <c r="I18" s="5"/>
      <c r="J18" s="40"/>
      <c r="K18" s="5"/>
      <c r="L18" s="21"/>
      <c r="M18" s="4" t="e">
        <f t="shared" si="0"/>
        <v>#DIV/0!</v>
      </c>
      <c r="N18" s="38"/>
      <c r="O18" s="40" t="s">
        <v>76</v>
      </c>
      <c r="P18" s="22" t="s">
        <v>57</v>
      </c>
      <c r="Q18" s="142"/>
    </row>
    <row r="19" spans="1:17">
      <c r="A19" s="109"/>
      <c r="B19" s="120"/>
      <c r="C19" s="120"/>
      <c r="D19" s="120"/>
      <c r="E19" s="179"/>
      <c r="F19" s="40"/>
      <c r="G19" s="193"/>
      <c r="H19" s="120"/>
      <c r="I19" s="111"/>
      <c r="J19" s="103"/>
      <c r="K19" s="111"/>
      <c r="L19" s="120"/>
      <c r="M19" s="4" t="e">
        <f t="shared" si="0"/>
        <v>#DIV/0!</v>
      </c>
      <c r="N19" s="113"/>
      <c r="O19" s="40" t="s">
        <v>76</v>
      </c>
      <c r="P19" s="108" t="s">
        <v>57</v>
      </c>
      <c r="Q19" s="142"/>
    </row>
    <row r="20" spans="1:17">
      <c r="A20" s="3"/>
      <c r="B20" s="21"/>
      <c r="C20" s="21"/>
      <c r="D20" s="21"/>
      <c r="E20" s="178"/>
      <c r="F20" s="40"/>
      <c r="G20" s="192"/>
      <c r="H20" s="21"/>
      <c r="I20" s="47"/>
      <c r="J20" s="40"/>
      <c r="K20" s="171"/>
      <c r="L20" s="21"/>
      <c r="M20" s="4" t="e">
        <f t="shared" si="0"/>
        <v>#DIV/0!</v>
      </c>
      <c r="N20" s="3"/>
      <c r="O20" s="40" t="s">
        <v>76</v>
      </c>
      <c r="P20" s="22" t="s">
        <v>57</v>
      </c>
      <c r="Q20" s="142"/>
    </row>
    <row r="21" spans="1:17">
      <c r="A21" s="72"/>
      <c r="B21" s="130"/>
      <c r="C21" s="130"/>
      <c r="D21" s="130"/>
      <c r="E21" s="73"/>
      <c r="F21" s="76"/>
      <c r="G21" s="130"/>
      <c r="H21" s="130"/>
      <c r="I21" s="52"/>
      <c r="J21" s="76"/>
      <c r="K21" s="52"/>
      <c r="L21" s="130"/>
      <c r="M21" s="74"/>
      <c r="N21" s="72"/>
      <c r="O21" s="172"/>
      <c r="P21" s="26"/>
    </row>
    <row r="22" spans="1:17">
      <c r="A22" s="72"/>
      <c r="B22" s="130"/>
      <c r="C22" s="130"/>
      <c r="D22" s="130"/>
      <c r="E22" s="73"/>
      <c r="F22" s="76"/>
      <c r="G22" s="130"/>
      <c r="H22" s="130"/>
      <c r="I22" s="52"/>
      <c r="J22" s="76"/>
      <c r="K22" s="52"/>
      <c r="L22" s="130"/>
      <c r="M22" s="74"/>
      <c r="N22" s="72"/>
      <c r="O22" s="172"/>
      <c r="P22" s="26"/>
    </row>
    <row r="23" spans="1:17">
      <c r="A23" s="72"/>
      <c r="B23" s="130"/>
      <c r="C23" s="130"/>
      <c r="D23" s="130"/>
      <c r="E23" s="73"/>
      <c r="F23" s="76"/>
      <c r="G23" s="130"/>
      <c r="H23" s="130"/>
      <c r="I23" s="52"/>
      <c r="J23" s="76"/>
      <c r="K23" s="52"/>
      <c r="L23" s="130"/>
      <c r="M23" s="74"/>
      <c r="N23" s="72"/>
      <c r="O23" s="172"/>
      <c r="P23" s="26"/>
    </row>
    <row r="24" spans="1:17">
      <c r="A24" s="72"/>
      <c r="B24" s="130"/>
      <c r="C24" s="130"/>
      <c r="D24" s="130"/>
      <c r="E24" s="73"/>
      <c r="F24" s="76"/>
      <c r="G24" s="130"/>
      <c r="H24" s="130"/>
      <c r="I24" s="52"/>
      <c r="J24" s="76"/>
      <c r="K24" s="52"/>
      <c r="L24" s="130"/>
      <c r="M24" s="74"/>
      <c r="N24" s="72"/>
      <c r="O24" s="172"/>
      <c r="P24" s="26"/>
    </row>
    <row r="25" spans="1:17">
      <c r="A25" s="72"/>
      <c r="B25" s="130"/>
      <c r="C25" s="130"/>
      <c r="D25" s="130"/>
      <c r="E25" s="73"/>
      <c r="F25" s="76"/>
      <c r="G25" s="130"/>
      <c r="H25" s="130"/>
      <c r="I25" s="52"/>
      <c r="J25" s="76"/>
      <c r="K25" s="52"/>
      <c r="L25" s="130"/>
      <c r="M25" s="74"/>
      <c r="N25" s="72"/>
      <c r="O25" s="172"/>
      <c r="P25" s="26"/>
    </row>
    <row r="26" spans="1:17">
      <c r="A26" s="72"/>
      <c r="B26" s="130"/>
      <c r="C26" s="130"/>
      <c r="D26" s="130"/>
      <c r="E26" s="73"/>
      <c r="F26" s="76"/>
      <c r="G26" s="130"/>
      <c r="H26" s="130"/>
      <c r="I26" s="52"/>
      <c r="J26" s="76"/>
      <c r="K26" s="52"/>
      <c r="L26" s="130"/>
      <c r="M26" s="74"/>
      <c r="N26" s="72"/>
      <c r="O26" s="172"/>
      <c r="P26" s="26"/>
    </row>
    <row r="27" spans="1:17">
      <c r="A27" s="72"/>
      <c r="B27" s="130"/>
      <c r="C27" s="130"/>
      <c r="D27" s="130"/>
      <c r="E27" s="73"/>
      <c r="F27" s="76"/>
      <c r="G27" s="130"/>
      <c r="H27" s="130"/>
      <c r="I27" s="52"/>
      <c r="J27" s="76"/>
      <c r="K27" s="52"/>
      <c r="L27" s="130"/>
      <c r="M27" s="74"/>
      <c r="N27" s="72"/>
      <c r="O27" s="172"/>
      <c r="P27" s="26"/>
    </row>
    <row r="28" spans="1:17">
      <c r="A28" s="72"/>
      <c r="B28" s="130"/>
      <c r="C28" s="130"/>
      <c r="D28" s="130"/>
      <c r="E28" s="73"/>
      <c r="F28" s="76"/>
      <c r="G28" s="130"/>
      <c r="H28" s="130"/>
      <c r="I28" s="52"/>
      <c r="J28" s="76"/>
      <c r="K28" s="52"/>
      <c r="L28" s="130"/>
      <c r="M28" s="74"/>
      <c r="N28" s="72"/>
      <c r="O28" s="172"/>
      <c r="P28" s="26"/>
    </row>
    <row r="29" spans="1:17">
      <c r="A29" s="72"/>
      <c r="B29" s="130"/>
      <c r="C29" s="130"/>
      <c r="D29" s="130"/>
      <c r="E29" s="73"/>
      <c r="F29" s="76"/>
      <c r="G29" s="130"/>
      <c r="H29" s="130"/>
      <c r="I29" s="52"/>
      <c r="J29" s="76"/>
      <c r="K29" s="52"/>
      <c r="L29" s="130"/>
      <c r="M29" s="74"/>
      <c r="N29" s="72"/>
      <c r="O29" s="172"/>
      <c r="P29" s="26"/>
    </row>
    <row r="30" spans="1:17">
      <c r="A30" s="72"/>
      <c r="B30" s="130"/>
      <c r="C30" s="130"/>
      <c r="D30" s="130"/>
      <c r="E30" s="73"/>
      <c r="F30" s="76"/>
      <c r="G30" s="130"/>
      <c r="H30" s="130"/>
      <c r="I30" s="52"/>
      <c r="J30" s="76"/>
      <c r="K30" s="52"/>
      <c r="L30" s="130"/>
      <c r="M30" s="74"/>
      <c r="N30" s="72"/>
      <c r="O30" s="172"/>
      <c r="P30" s="26"/>
    </row>
    <row r="31" spans="1:17">
      <c r="A31" s="72"/>
      <c r="B31" s="130"/>
      <c r="C31" s="130"/>
      <c r="D31" s="130"/>
      <c r="E31" s="73"/>
      <c r="F31" s="76"/>
      <c r="G31" s="130"/>
      <c r="H31" s="130"/>
      <c r="I31" s="52"/>
      <c r="J31" s="76"/>
      <c r="K31" s="52"/>
      <c r="L31" s="130"/>
      <c r="M31" s="74"/>
      <c r="N31" s="72"/>
      <c r="O31" s="172"/>
      <c r="P31" s="26"/>
    </row>
    <row r="32" spans="1:17">
      <c r="A32" s="72"/>
      <c r="B32" s="130"/>
      <c r="C32" s="130"/>
      <c r="D32" s="130"/>
      <c r="E32" s="73"/>
      <c r="F32" s="76"/>
      <c r="G32" s="130"/>
      <c r="H32" s="130"/>
      <c r="I32" s="52"/>
      <c r="J32" s="76"/>
      <c r="K32" s="52"/>
      <c r="L32" s="130"/>
      <c r="M32" s="74"/>
      <c r="N32" s="72"/>
      <c r="O32" s="172"/>
      <c r="P32" s="26"/>
    </row>
    <row r="33" spans="1:16">
      <c r="A33" s="72"/>
      <c r="B33" s="130"/>
      <c r="C33" s="130"/>
      <c r="D33" s="130"/>
      <c r="E33" s="73"/>
      <c r="F33" s="76"/>
      <c r="G33" s="130"/>
      <c r="H33" s="130"/>
      <c r="I33" s="52"/>
      <c r="J33" s="76"/>
      <c r="K33" s="52"/>
      <c r="L33" s="130"/>
      <c r="M33" s="74"/>
      <c r="N33" s="72"/>
      <c r="O33" s="172"/>
      <c r="P33" s="26"/>
    </row>
    <row r="34" spans="1:16">
      <c r="C34" s="130"/>
      <c r="D34" s="130"/>
      <c r="E34" s="73"/>
      <c r="F34" s="76"/>
      <c r="G34" s="130"/>
      <c r="H34" s="130"/>
      <c r="I34" s="52"/>
      <c r="J34" s="76"/>
      <c r="K34" s="52"/>
      <c r="L34" s="130"/>
      <c r="M34" s="74"/>
      <c r="N34" s="72"/>
      <c r="O34" s="172"/>
      <c r="P34" s="26"/>
    </row>
    <row r="35" spans="1:16">
      <c r="C35" s="130"/>
      <c r="D35" s="130"/>
      <c r="E35" s="73"/>
      <c r="F35" s="76"/>
      <c r="G35" s="130"/>
      <c r="H35" s="130"/>
      <c r="I35" s="52"/>
      <c r="J35" s="76"/>
      <c r="K35" s="52"/>
      <c r="L35" s="130"/>
      <c r="M35" s="74"/>
      <c r="N35" s="72"/>
      <c r="O35" s="172"/>
      <c r="P35" s="26"/>
    </row>
    <row r="36" spans="1:16">
      <c r="C36" s="130"/>
      <c r="D36" s="130"/>
      <c r="E36" s="73"/>
      <c r="F36" s="76"/>
      <c r="G36" s="130"/>
      <c r="H36" s="130"/>
      <c r="I36" s="52"/>
      <c r="J36" s="76"/>
      <c r="K36" s="52"/>
      <c r="L36" s="130"/>
      <c r="M36" s="74"/>
      <c r="N36" s="72"/>
      <c r="O36" s="172"/>
      <c r="P36" s="26"/>
    </row>
    <row r="37" spans="1:16">
      <c r="C37" s="130"/>
      <c r="D37" s="130"/>
      <c r="E37" s="73"/>
      <c r="F37" s="76"/>
      <c r="G37" s="130"/>
      <c r="H37" s="130"/>
      <c r="I37" s="52"/>
      <c r="J37" s="76"/>
      <c r="K37" s="52"/>
      <c r="L37" s="130"/>
      <c r="M37" s="74"/>
      <c r="N37" s="72"/>
      <c r="O37" s="172"/>
      <c r="P37" s="26"/>
    </row>
    <row r="38" spans="1:16">
      <c r="C38" s="130"/>
      <c r="D38" s="130"/>
      <c r="E38" s="73"/>
      <c r="F38" s="76"/>
      <c r="G38" s="130"/>
      <c r="H38" s="130"/>
      <c r="I38" s="52"/>
      <c r="J38" s="76"/>
      <c r="K38" s="52"/>
      <c r="L38" s="130"/>
      <c r="M38" s="74"/>
      <c r="N38" s="72"/>
      <c r="O38" s="172"/>
      <c r="P38" s="26"/>
    </row>
    <row r="39" spans="1:16">
      <c r="C39" s="130"/>
      <c r="D39" s="130"/>
      <c r="E39" s="73"/>
      <c r="F39" s="76"/>
      <c r="G39" s="130"/>
      <c r="H39" s="130"/>
      <c r="I39" s="52"/>
      <c r="J39" s="76"/>
      <c r="K39" s="52"/>
      <c r="L39" s="130"/>
      <c r="M39" s="74"/>
      <c r="N39" s="72"/>
      <c r="O39" s="172"/>
      <c r="P39" s="26"/>
    </row>
    <row r="40" spans="1:16">
      <c r="C40" s="130"/>
      <c r="D40" s="130"/>
      <c r="E40" s="73"/>
      <c r="F40" s="76"/>
      <c r="G40" s="130"/>
      <c r="H40" s="130"/>
      <c r="I40" s="52"/>
      <c r="J40" s="76"/>
      <c r="K40" s="52"/>
      <c r="L40" s="130"/>
      <c r="M40" s="74"/>
      <c r="N40" s="72"/>
      <c r="O40" s="172"/>
      <c r="P40" s="26"/>
    </row>
    <row r="41" spans="1:16">
      <c r="C41" s="130"/>
      <c r="D41" s="130"/>
      <c r="E41" s="73"/>
      <c r="F41" s="76"/>
      <c r="G41" s="130"/>
      <c r="H41" s="130"/>
      <c r="I41" s="52"/>
      <c r="J41" s="76"/>
      <c r="K41" s="52"/>
      <c r="L41" s="130"/>
      <c r="M41" s="74"/>
      <c r="N41" s="72"/>
      <c r="O41" s="172"/>
      <c r="P41" s="26"/>
    </row>
    <row r="42" spans="1:16">
      <c r="C42" s="130"/>
      <c r="D42" s="130"/>
      <c r="E42" s="73"/>
      <c r="F42" s="76"/>
      <c r="G42" s="130"/>
      <c r="H42" s="130"/>
      <c r="I42" s="52"/>
      <c r="J42" s="76"/>
      <c r="K42" s="52"/>
      <c r="L42" s="130"/>
      <c r="M42" s="74"/>
      <c r="N42" s="72"/>
      <c r="O42" s="172"/>
      <c r="P42" s="26"/>
    </row>
    <row r="43" spans="1:16">
      <c r="C43" s="130"/>
      <c r="D43" s="130"/>
      <c r="E43" s="73"/>
      <c r="F43" s="76"/>
      <c r="G43" s="130"/>
      <c r="H43" s="130"/>
      <c r="I43" s="52"/>
      <c r="J43" s="76"/>
      <c r="K43" s="52"/>
      <c r="L43" s="130"/>
      <c r="M43" s="74"/>
      <c r="N43" s="72"/>
      <c r="O43" s="172"/>
      <c r="P43" s="26"/>
    </row>
    <row r="44" spans="1:16">
      <c r="C44" s="130"/>
      <c r="D44" s="130"/>
      <c r="E44" s="73"/>
      <c r="F44" s="76"/>
      <c r="G44" s="130"/>
      <c r="H44" s="130"/>
      <c r="I44" s="52"/>
      <c r="J44" s="76"/>
      <c r="K44" s="52"/>
      <c r="L44" s="130"/>
      <c r="M44" s="74"/>
      <c r="N44" s="72"/>
      <c r="O44" s="172"/>
      <c r="P44" s="26"/>
    </row>
    <row r="45" spans="1:16">
      <c r="C45" s="130"/>
      <c r="D45" s="130"/>
      <c r="E45" s="73"/>
      <c r="F45" s="76"/>
      <c r="G45" s="130"/>
      <c r="H45" s="130"/>
      <c r="I45" s="52"/>
      <c r="J45" s="76"/>
      <c r="K45" s="52"/>
      <c r="L45" s="130"/>
      <c r="M45" s="74"/>
      <c r="N45" s="72"/>
      <c r="O45" s="172"/>
      <c r="P45" s="26"/>
    </row>
    <row r="46" spans="1:16">
      <c r="C46" s="130"/>
      <c r="D46" s="130"/>
      <c r="E46" s="73"/>
      <c r="F46" s="76"/>
      <c r="G46" s="130"/>
      <c r="H46" s="130"/>
      <c r="I46" s="52"/>
      <c r="J46" s="76"/>
      <c r="K46" s="52"/>
      <c r="L46" s="130"/>
      <c r="M46" s="74"/>
      <c r="N46" s="72"/>
      <c r="O46" s="172"/>
      <c r="P46" s="26"/>
    </row>
    <row r="47" spans="1:16">
      <c r="C47" s="130"/>
      <c r="D47" s="130"/>
      <c r="E47" s="73"/>
      <c r="F47" s="76"/>
      <c r="G47" s="130"/>
      <c r="H47" s="130"/>
      <c r="I47" s="52"/>
      <c r="J47" s="76"/>
      <c r="K47" s="52"/>
      <c r="L47" s="130"/>
      <c r="M47" s="74"/>
      <c r="N47" s="72"/>
      <c r="O47" s="172"/>
      <c r="P47" s="26"/>
    </row>
    <row r="48" spans="1:16">
      <c r="C48" s="130"/>
      <c r="D48" s="130"/>
      <c r="E48" s="73"/>
      <c r="F48" s="76"/>
      <c r="G48" s="130"/>
      <c r="H48" s="130"/>
      <c r="I48" s="52"/>
      <c r="J48" s="76"/>
      <c r="K48" s="52"/>
      <c r="L48" s="130"/>
      <c r="M48" s="74"/>
      <c r="N48" s="72"/>
      <c r="O48" s="172"/>
      <c r="P48" s="26"/>
    </row>
    <row r="49" spans="3:16">
      <c r="C49" s="130"/>
      <c r="D49" s="130"/>
      <c r="E49" s="73"/>
      <c r="F49" s="76"/>
      <c r="G49" s="130"/>
      <c r="H49" s="130"/>
      <c r="I49" s="52"/>
      <c r="J49" s="76"/>
      <c r="K49" s="52"/>
      <c r="L49" s="130"/>
      <c r="M49" s="74"/>
      <c r="N49" s="72"/>
      <c r="O49" s="172"/>
      <c r="P49" s="26"/>
    </row>
    <row r="50" spans="3:16">
      <c r="C50" s="130"/>
      <c r="D50" s="130"/>
      <c r="E50" s="73"/>
      <c r="F50" s="76"/>
      <c r="G50" s="130"/>
      <c r="H50" s="130"/>
      <c r="I50" s="52"/>
      <c r="J50" s="76"/>
      <c r="K50" s="52"/>
      <c r="L50" s="130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"/>
  <dimension ref="A1:Q75"/>
  <sheetViews>
    <sheetView topLeftCell="C46" workbookViewId="0">
      <selection activeCell="H7" sqref="H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5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468</v>
      </c>
      <c r="C2" s="40" t="s">
        <v>469</v>
      </c>
      <c r="D2" s="40" t="s">
        <v>210</v>
      </c>
      <c r="E2" s="43" t="s">
        <v>100</v>
      </c>
      <c r="F2" s="40" t="s">
        <v>154</v>
      </c>
      <c r="G2" s="184">
        <v>6</v>
      </c>
      <c r="H2" s="40">
        <v>6</v>
      </c>
      <c r="I2" s="40"/>
      <c r="J2" s="40" t="s">
        <v>127</v>
      </c>
      <c r="K2" s="173">
        <v>48</v>
      </c>
      <c r="L2" s="40">
        <v>100</v>
      </c>
      <c r="M2" s="41">
        <f t="shared" ref="M2:M65" si="0">K2/L2</f>
        <v>0.48</v>
      </c>
      <c r="N2" s="40" t="s">
        <v>50</v>
      </c>
      <c r="O2" s="40" t="s">
        <v>76</v>
      </c>
      <c r="P2" s="40" t="s">
        <v>45</v>
      </c>
      <c r="Q2" s="142"/>
    </row>
    <row r="3" spans="1:17">
      <c r="A3" s="43">
        <v>2</v>
      </c>
      <c r="B3" s="40" t="s">
        <v>261</v>
      </c>
      <c r="C3" s="40" t="s">
        <v>260</v>
      </c>
      <c r="D3" s="40" t="s">
        <v>233</v>
      </c>
      <c r="E3" s="43" t="s">
        <v>100</v>
      </c>
      <c r="F3" s="40" t="s">
        <v>154</v>
      </c>
      <c r="G3" s="184">
        <v>6</v>
      </c>
      <c r="H3" s="40">
        <v>6</v>
      </c>
      <c r="I3" s="40"/>
      <c r="J3" s="40" t="s">
        <v>127</v>
      </c>
      <c r="K3" s="173">
        <v>46</v>
      </c>
      <c r="L3" s="40">
        <v>100</v>
      </c>
      <c r="M3" s="41">
        <f t="shared" si="0"/>
        <v>0.46</v>
      </c>
      <c r="N3" s="40" t="s">
        <v>58</v>
      </c>
      <c r="O3" s="40" t="s">
        <v>76</v>
      </c>
      <c r="P3" s="40" t="s">
        <v>45</v>
      </c>
      <c r="Q3" s="142"/>
    </row>
    <row r="4" spans="1:17">
      <c r="A4" s="43">
        <v>3</v>
      </c>
      <c r="B4" s="22" t="s">
        <v>471</v>
      </c>
      <c r="C4" s="40" t="s">
        <v>192</v>
      </c>
      <c r="D4" s="40" t="s">
        <v>472</v>
      </c>
      <c r="E4" s="43" t="s">
        <v>100</v>
      </c>
      <c r="F4" s="40" t="s">
        <v>154</v>
      </c>
      <c r="G4" s="184">
        <v>6</v>
      </c>
      <c r="H4" s="40">
        <v>6</v>
      </c>
      <c r="I4" s="40"/>
      <c r="J4" s="40" t="s">
        <v>127</v>
      </c>
      <c r="K4" s="173">
        <v>45</v>
      </c>
      <c r="L4" s="40">
        <v>100</v>
      </c>
      <c r="M4" s="41">
        <f t="shared" si="0"/>
        <v>0.45</v>
      </c>
      <c r="N4" s="40" t="s">
        <v>58</v>
      </c>
      <c r="O4" s="40" t="s">
        <v>76</v>
      </c>
      <c r="P4" s="40" t="s">
        <v>45</v>
      </c>
      <c r="Q4" s="142"/>
    </row>
    <row r="5" spans="1:17">
      <c r="A5" s="43">
        <v>4</v>
      </c>
      <c r="B5" s="22" t="s">
        <v>306</v>
      </c>
      <c r="C5" s="40" t="s">
        <v>473</v>
      </c>
      <c r="D5" s="40" t="s">
        <v>474</v>
      </c>
      <c r="E5" s="43" t="s">
        <v>99</v>
      </c>
      <c r="F5" s="40" t="s">
        <v>154</v>
      </c>
      <c r="G5" s="184">
        <v>6</v>
      </c>
      <c r="H5" s="40">
        <v>6</v>
      </c>
      <c r="I5" s="40"/>
      <c r="J5" s="40" t="s">
        <v>127</v>
      </c>
      <c r="K5" s="173">
        <v>42</v>
      </c>
      <c r="L5" s="40">
        <v>100</v>
      </c>
      <c r="M5" s="41">
        <f t="shared" si="0"/>
        <v>0.42</v>
      </c>
      <c r="N5" s="40" t="s">
        <v>58</v>
      </c>
      <c r="O5" s="40" t="s">
        <v>76</v>
      </c>
      <c r="P5" s="40" t="s">
        <v>45</v>
      </c>
      <c r="Q5" s="142"/>
    </row>
    <row r="6" spans="1:17">
      <c r="A6" s="43">
        <v>5</v>
      </c>
      <c r="B6" s="22" t="s">
        <v>476</v>
      </c>
      <c r="C6" s="40" t="s">
        <v>477</v>
      </c>
      <c r="D6" s="40" t="s">
        <v>235</v>
      </c>
      <c r="E6" s="43" t="s">
        <v>100</v>
      </c>
      <c r="F6" s="40" t="s">
        <v>154</v>
      </c>
      <c r="G6" s="184">
        <v>6</v>
      </c>
      <c r="H6" s="40">
        <v>6</v>
      </c>
      <c r="I6" s="40"/>
      <c r="J6" s="40" t="s">
        <v>127</v>
      </c>
      <c r="K6" s="173">
        <v>41</v>
      </c>
      <c r="L6" s="40">
        <v>100</v>
      </c>
      <c r="M6" s="41">
        <f t="shared" si="0"/>
        <v>0.41</v>
      </c>
      <c r="N6" s="40" t="s">
        <v>58</v>
      </c>
      <c r="O6" s="40" t="s">
        <v>76</v>
      </c>
      <c r="P6" s="40" t="s">
        <v>45</v>
      </c>
      <c r="Q6" s="142"/>
    </row>
    <row r="7" spans="1:17">
      <c r="A7" s="43">
        <v>6</v>
      </c>
      <c r="B7" s="22" t="s">
        <v>478</v>
      </c>
      <c r="C7" s="40" t="s">
        <v>367</v>
      </c>
      <c r="D7" s="40" t="s">
        <v>186</v>
      </c>
      <c r="E7" s="43" t="s">
        <v>475</v>
      </c>
      <c r="F7" s="40" t="s">
        <v>154</v>
      </c>
      <c r="G7" s="184">
        <v>6</v>
      </c>
      <c r="H7" s="40">
        <v>6</v>
      </c>
      <c r="I7" s="40"/>
      <c r="J7" s="40" t="s">
        <v>127</v>
      </c>
      <c r="K7" s="173">
        <v>40</v>
      </c>
      <c r="L7" s="40">
        <v>100</v>
      </c>
      <c r="M7" s="41">
        <f t="shared" si="0"/>
        <v>0.4</v>
      </c>
      <c r="N7" s="40" t="s">
        <v>58</v>
      </c>
      <c r="O7" s="40" t="s">
        <v>76</v>
      </c>
      <c r="P7" s="40" t="s">
        <v>45</v>
      </c>
      <c r="Q7" s="142"/>
    </row>
    <row r="8" spans="1:17">
      <c r="A8" s="43">
        <v>7</v>
      </c>
      <c r="B8" s="22" t="s">
        <v>479</v>
      </c>
      <c r="C8" s="40" t="s">
        <v>440</v>
      </c>
      <c r="D8" s="40" t="s">
        <v>213</v>
      </c>
      <c r="E8" s="43" t="s">
        <v>475</v>
      </c>
      <c r="F8" s="40" t="s">
        <v>154</v>
      </c>
      <c r="G8" s="184">
        <v>6</v>
      </c>
      <c r="H8" s="40">
        <v>6</v>
      </c>
      <c r="I8" s="40"/>
      <c r="J8" s="40" t="s">
        <v>127</v>
      </c>
      <c r="K8" s="173">
        <v>34</v>
      </c>
      <c r="L8" s="40">
        <v>100</v>
      </c>
      <c r="M8" s="41">
        <f t="shared" si="0"/>
        <v>0.34</v>
      </c>
      <c r="N8" s="40" t="s">
        <v>58</v>
      </c>
      <c r="O8" s="40" t="s">
        <v>76</v>
      </c>
      <c r="P8" s="40" t="s">
        <v>45</v>
      </c>
      <c r="Q8" s="142"/>
    </row>
    <row r="9" spans="1:17">
      <c r="A9" s="43">
        <v>8</v>
      </c>
      <c r="B9" s="22" t="s">
        <v>480</v>
      </c>
      <c r="C9" s="40" t="s">
        <v>481</v>
      </c>
      <c r="D9" s="40" t="s">
        <v>223</v>
      </c>
      <c r="E9" s="43" t="s">
        <v>470</v>
      </c>
      <c r="F9" s="40" t="s">
        <v>154</v>
      </c>
      <c r="G9" s="184">
        <v>6</v>
      </c>
      <c r="H9" s="40">
        <v>6</v>
      </c>
      <c r="I9" s="40"/>
      <c r="J9" s="40" t="s">
        <v>127</v>
      </c>
      <c r="K9" s="173">
        <v>33</v>
      </c>
      <c r="L9" s="40">
        <v>100</v>
      </c>
      <c r="M9" s="41">
        <f t="shared" si="0"/>
        <v>0.33</v>
      </c>
      <c r="N9" s="40" t="s">
        <v>58</v>
      </c>
      <c r="O9" s="40" t="s">
        <v>76</v>
      </c>
      <c r="P9" s="40" t="s">
        <v>45</v>
      </c>
      <c r="Q9" s="142"/>
    </row>
    <row r="10" spans="1:17">
      <c r="A10" s="43">
        <v>9</v>
      </c>
      <c r="B10" s="22" t="s">
        <v>482</v>
      </c>
      <c r="C10" s="40" t="s">
        <v>429</v>
      </c>
      <c r="D10" s="40" t="s">
        <v>216</v>
      </c>
      <c r="E10" s="43" t="s">
        <v>475</v>
      </c>
      <c r="F10" s="40" t="s">
        <v>154</v>
      </c>
      <c r="G10" s="184">
        <v>7</v>
      </c>
      <c r="H10" s="40">
        <v>7</v>
      </c>
      <c r="I10" s="40"/>
      <c r="J10" s="40" t="s">
        <v>127</v>
      </c>
      <c r="K10" s="173">
        <v>57</v>
      </c>
      <c r="L10" s="40">
        <v>100</v>
      </c>
      <c r="M10" s="41">
        <f t="shared" si="0"/>
        <v>0.56999999999999995</v>
      </c>
      <c r="N10" s="40" t="s">
        <v>49</v>
      </c>
      <c r="O10" s="40" t="s">
        <v>76</v>
      </c>
      <c r="P10" s="40" t="s">
        <v>45</v>
      </c>
      <c r="Q10" s="142"/>
    </row>
    <row r="11" spans="1:17">
      <c r="A11" s="43">
        <v>10</v>
      </c>
      <c r="B11" s="22" t="s">
        <v>483</v>
      </c>
      <c r="C11" s="40" t="s">
        <v>171</v>
      </c>
      <c r="D11" s="40" t="s">
        <v>175</v>
      </c>
      <c r="E11" s="43" t="s">
        <v>470</v>
      </c>
      <c r="F11" s="40" t="s">
        <v>154</v>
      </c>
      <c r="G11" s="184">
        <v>7</v>
      </c>
      <c r="H11" s="40">
        <v>7</v>
      </c>
      <c r="I11" s="40"/>
      <c r="J11" s="40" t="s">
        <v>127</v>
      </c>
      <c r="K11" s="173">
        <v>55</v>
      </c>
      <c r="L11" s="40">
        <v>100</v>
      </c>
      <c r="M11" s="41">
        <f t="shared" si="0"/>
        <v>0.55000000000000004</v>
      </c>
      <c r="N11" s="40" t="s">
        <v>50</v>
      </c>
      <c r="O11" s="40" t="s">
        <v>76</v>
      </c>
      <c r="P11" s="40" t="s">
        <v>45</v>
      </c>
      <c r="Q11" s="142"/>
    </row>
    <row r="12" spans="1:17">
      <c r="A12" s="43">
        <v>11</v>
      </c>
      <c r="B12" s="22" t="s">
        <v>484</v>
      </c>
      <c r="C12" s="40" t="s">
        <v>485</v>
      </c>
      <c r="D12" s="40" t="s">
        <v>235</v>
      </c>
      <c r="E12" s="43" t="s">
        <v>470</v>
      </c>
      <c r="F12" s="40" t="s">
        <v>154</v>
      </c>
      <c r="G12" s="184">
        <v>7</v>
      </c>
      <c r="H12" s="40">
        <v>7</v>
      </c>
      <c r="I12" s="40"/>
      <c r="J12" s="40" t="s">
        <v>127</v>
      </c>
      <c r="K12" s="173">
        <v>46</v>
      </c>
      <c r="L12" s="40">
        <v>100</v>
      </c>
      <c r="M12" s="41">
        <f t="shared" si="0"/>
        <v>0.46</v>
      </c>
      <c r="N12" s="40" t="s">
        <v>58</v>
      </c>
      <c r="O12" s="40" t="s">
        <v>76</v>
      </c>
      <c r="P12" s="40" t="s">
        <v>45</v>
      </c>
      <c r="Q12" s="142"/>
    </row>
    <row r="13" spans="1:17">
      <c r="A13" s="43">
        <v>12</v>
      </c>
      <c r="B13" s="22" t="s">
        <v>312</v>
      </c>
      <c r="C13" s="40" t="s">
        <v>242</v>
      </c>
      <c r="D13" s="40" t="s">
        <v>311</v>
      </c>
      <c r="E13" s="43" t="s">
        <v>470</v>
      </c>
      <c r="F13" s="40" t="s">
        <v>154</v>
      </c>
      <c r="G13" s="184">
        <v>7</v>
      </c>
      <c r="H13" s="40">
        <v>7</v>
      </c>
      <c r="I13" s="40"/>
      <c r="J13" s="40" t="s">
        <v>127</v>
      </c>
      <c r="K13" s="173">
        <v>46</v>
      </c>
      <c r="L13" s="40">
        <v>100</v>
      </c>
      <c r="M13" s="41">
        <f t="shared" si="0"/>
        <v>0.46</v>
      </c>
      <c r="N13" s="40" t="s">
        <v>58</v>
      </c>
      <c r="O13" s="40" t="s">
        <v>76</v>
      </c>
      <c r="P13" s="40" t="s">
        <v>45</v>
      </c>
      <c r="Q13" s="142"/>
    </row>
    <row r="14" spans="1:17">
      <c r="A14" s="43">
        <v>13</v>
      </c>
      <c r="B14" s="22" t="s">
        <v>310</v>
      </c>
      <c r="C14" s="40" t="s">
        <v>294</v>
      </c>
      <c r="D14" s="40" t="s">
        <v>223</v>
      </c>
      <c r="E14" s="43" t="s">
        <v>470</v>
      </c>
      <c r="F14" s="40" t="s">
        <v>154</v>
      </c>
      <c r="G14" s="184">
        <v>7</v>
      </c>
      <c r="H14" s="40">
        <v>7</v>
      </c>
      <c r="I14" s="40"/>
      <c r="J14" s="40" t="s">
        <v>127</v>
      </c>
      <c r="K14" s="173">
        <v>45</v>
      </c>
      <c r="L14" s="40">
        <v>100</v>
      </c>
      <c r="M14" s="41">
        <f t="shared" si="0"/>
        <v>0.45</v>
      </c>
      <c r="N14" s="40" t="s">
        <v>58</v>
      </c>
      <c r="O14" s="40" t="s">
        <v>76</v>
      </c>
      <c r="P14" s="40" t="s">
        <v>45</v>
      </c>
      <c r="Q14" s="142"/>
    </row>
    <row r="15" spans="1:17">
      <c r="A15" s="43">
        <v>14</v>
      </c>
      <c r="B15" s="22" t="s">
        <v>442</v>
      </c>
      <c r="C15" s="40" t="s">
        <v>443</v>
      </c>
      <c r="D15" s="40" t="s">
        <v>357</v>
      </c>
      <c r="E15" s="43" t="s">
        <v>475</v>
      </c>
      <c r="F15" s="40" t="s">
        <v>154</v>
      </c>
      <c r="G15" s="184">
        <v>7</v>
      </c>
      <c r="H15" s="40">
        <v>7</v>
      </c>
      <c r="I15" s="40"/>
      <c r="J15" s="40" t="s">
        <v>127</v>
      </c>
      <c r="K15" s="173">
        <v>43</v>
      </c>
      <c r="L15" s="40">
        <v>100</v>
      </c>
      <c r="M15" s="41">
        <f t="shared" si="0"/>
        <v>0.43</v>
      </c>
      <c r="N15" s="40" t="s">
        <v>58</v>
      </c>
      <c r="O15" s="40" t="s">
        <v>76</v>
      </c>
      <c r="P15" s="40" t="s">
        <v>45</v>
      </c>
      <c r="Q15" s="142"/>
    </row>
    <row r="16" spans="1:17">
      <c r="A16" s="43">
        <v>15</v>
      </c>
      <c r="B16" s="22" t="s">
        <v>486</v>
      </c>
      <c r="C16" s="40" t="s">
        <v>367</v>
      </c>
      <c r="D16" s="40" t="s">
        <v>246</v>
      </c>
      <c r="E16" s="43" t="s">
        <v>475</v>
      </c>
      <c r="F16" s="40" t="s">
        <v>154</v>
      </c>
      <c r="G16" s="184">
        <v>7</v>
      </c>
      <c r="H16" s="40">
        <v>7</v>
      </c>
      <c r="I16" s="40"/>
      <c r="J16" s="40" t="s">
        <v>127</v>
      </c>
      <c r="K16" s="173">
        <v>40</v>
      </c>
      <c r="L16" s="40">
        <v>100</v>
      </c>
      <c r="M16" s="41">
        <f t="shared" si="0"/>
        <v>0.4</v>
      </c>
      <c r="N16" s="40" t="s">
        <v>58</v>
      </c>
      <c r="O16" s="40" t="s">
        <v>76</v>
      </c>
      <c r="P16" s="40" t="s">
        <v>45</v>
      </c>
      <c r="Q16" s="142"/>
    </row>
    <row r="17" spans="1:17">
      <c r="A17" s="43">
        <v>16</v>
      </c>
      <c r="B17" s="22" t="s">
        <v>309</v>
      </c>
      <c r="C17" s="40" t="s">
        <v>204</v>
      </c>
      <c r="D17" s="40" t="s">
        <v>252</v>
      </c>
      <c r="E17" s="43" t="s">
        <v>470</v>
      </c>
      <c r="F17" s="40" t="s">
        <v>154</v>
      </c>
      <c r="G17" s="184">
        <v>7</v>
      </c>
      <c r="H17" s="40">
        <v>7</v>
      </c>
      <c r="I17" s="40"/>
      <c r="J17" s="40" t="s">
        <v>127</v>
      </c>
      <c r="K17" s="173">
        <v>37</v>
      </c>
      <c r="L17" s="40">
        <v>100</v>
      </c>
      <c r="M17" s="41">
        <f t="shared" si="0"/>
        <v>0.37</v>
      </c>
      <c r="N17" s="40" t="s">
        <v>58</v>
      </c>
      <c r="O17" s="40" t="s">
        <v>76</v>
      </c>
      <c r="P17" s="40" t="s">
        <v>45</v>
      </c>
      <c r="Q17" s="142"/>
    </row>
    <row r="18" spans="1:17">
      <c r="A18" s="43">
        <v>17</v>
      </c>
      <c r="B18" s="22" t="s">
        <v>487</v>
      </c>
      <c r="C18" s="40" t="s">
        <v>284</v>
      </c>
      <c r="D18" s="40" t="s">
        <v>319</v>
      </c>
      <c r="E18" s="43" t="s">
        <v>475</v>
      </c>
      <c r="F18" s="40" t="s">
        <v>154</v>
      </c>
      <c r="G18" s="184">
        <v>7</v>
      </c>
      <c r="H18" s="40">
        <v>7</v>
      </c>
      <c r="I18" s="40"/>
      <c r="J18" s="40" t="s">
        <v>127</v>
      </c>
      <c r="K18" s="173">
        <v>37</v>
      </c>
      <c r="L18" s="40">
        <v>100</v>
      </c>
      <c r="M18" s="41">
        <f>K18/L18</f>
        <v>0.37</v>
      </c>
      <c r="N18" s="40" t="s">
        <v>58</v>
      </c>
      <c r="O18" s="40" t="s">
        <v>76</v>
      </c>
      <c r="P18" s="40" t="s">
        <v>45</v>
      </c>
      <c r="Q18" s="142"/>
    </row>
    <row r="19" spans="1:17">
      <c r="A19" s="43">
        <v>18</v>
      </c>
      <c r="B19" s="22" t="s">
        <v>488</v>
      </c>
      <c r="C19" s="40" t="s">
        <v>413</v>
      </c>
      <c r="D19" s="40" t="s">
        <v>233</v>
      </c>
      <c r="E19" s="43" t="s">
        <v>470</v>
      </c>
      <c r="F19" s="40" t="s">
        <v>154</v>
      </c>
      <c r="G19" s="184">
        <v>7</v>
      </c>
      <c r="H19" s="40">
        <v>7</v>
      </c>
      <c r="I19" s="40"/>
      <c r="J19" s="40" t="s">
        <v>127</v>
      </c>
      <c r="K19" s="173">
        <v>36</v>
      </c>
      <c r="L19" s="40">
        <v>100</v>
      </c>
      <c r="M19" s="41">
        <f>K19/L19</f>
        <v>0.36</v>
      </c>
      <c r="N19" s="40" t="s">
        <v>58</v>
      </c>
      <c r="O19" s="40" t="s">
        <v>76</v>
      </c>
      <c r="P19" s="103" t="s">
        <v>45</v>
      </c>
      <c r="Q19" s="142"/>
    </row>
    <row r="20" spans="1:17">
      <c r="A20" s="43">
        <v>19</v>
      </c>
      <c r="B20" s="22" t="s">
        <v>489</v>
      </c>
      <c r="C20" s="40" t="s">
        <v>490</v>
      </c>
      <c r="D20" s="40" t="s">
        <v>491</v>
      </c>
      <c r="E20" s="43" t="s">
        <v>475</v>
      </c>
      <c r="F20" s="40" t="s">
        <v>154</v>
      </c>
      <c r="G20" s="184">
        <v>7</v>
      </c>
      <c r="H20" s="40">
        <v>7</v>
      </c>
      <c r="I20" s="40"/>
      <c r="J20" s="40" t="s">
        <v>127</v>
      </c>
      <c r="K20" s="173">
        <v>35</v>
      </c>
      <c r="L20" s="40">
        <v>100</v>
      </c>
      <c r="M20" s="41">
        <f>K20/L20</f>
        <v>0.35</v>
      </c>
      <c r="N20" s="40" t="s">
        <v>58</v>
      </c>
      <c r="O20" s="40" t="s">
        <v>76</v>
      </c>
      <c r="P20" s="40" t="s">
        <v>45</v>
      </c>
      <c r="Q20" s="142"/>
    </row>
    <row r="21" spans="1:17">
      <c r="A21" s="43">
        <v>20</v>
      </c>
      <c r="B21" s="103" t="s">
        <v>300</v>
      </c>
      <c r="C21" s="103" t="s">
        <v>492</v>
      </c>
      <c r="D21" s="103" t="s">
        <v>493</v>
      </c>
      <c r="E21" s="107" t="s">
        <v>470</v>
      </c>
      <c r="F21" s="40" t="s">
        <v>154</v>
      </c>
      <c r="G21" s="191">
        <v>7</v>
      </c>
      <c r="H21" s="40">
        <v>7</v>
      </c>
      <c r="I21" s="103"/>
      <c r="J21" s="40" t="s">
        <v>127</v>
      </c>
      <c r="K21" s="105">
        <v>28</v>
      </c>
      <c r="L21" s="103">
        <v>100</v>
      </c>
      <c r="M21" s="41">
        <f t="shared" si="0"/>
        <v>0.28000000000000003</v>
      </c>
      <c r="N21" s="40" t="s">
        <v>58</v>
      </c>
      <c r="O21" s="40" t="s">
        <v>76</v>
      </c>
      <c r="P21" s="40" t="s">
        <v>45</v>
      </c>
      <c r="Q21" s="142"/>
    </row>
    <row r="22" spans="1:17">
      <c r="A22" s="43">
        <v>21</v>
      </c>
      <c r="B22" s="40" t="s">
        <v>494</v>
      </c>
      <c r="C22" s="40" t="s">
        <v>350</v>
      </c>
      <c r="D22" s="40" t="s">
        <v>495</v>
      </c>
      <c r="E22" s="43" t="s">
        <v>475</v>
      </c>
      <c r="F22" s="40" t="s">
        <v>154</v>
      </c>
      <c r="G22" s="184">
        <v>7</v>
      </c>
      <c r="H22" s="40">
        <v>7</v>
      </c>
      <c r="I22" s="43"/>
      <c r="J22" s="40" t="s">
        <v>127</v>
      </c>
      <c r="K22" s="220">
        <v>21</v>
      </c>
      <c r="L22" s="40">
        <v>100</v>
      </c>
      <c r="M22" s="41">
        <f t="shared" si="0"/>
        <v>0.21</v>
      </c>
      <c r="N22" s="40" t="s">
        <v>58</v>
      </c>
      <c r="O22" s="40" t="s">
        <v>76</v>
      </c>
      <c r="P22" s="40" t="s">
        <v>45</v>
      </c>
      <c r="Q22" s="142"/>
    </row>
    <row r="23" spans="1:17">
      <c r="A23" s="43">
        <v>22</v>
      </c>
      <c r="B23" s="22" t="s">
        <v>318</v>
      </c>
      <c r="C23" s="40" t="s">
        <v>263</v>
      </c>
      <c r="D23" s="40" t="s">
        <v>235</v>
      </c>
      <c r="E23" s="43" t="s">
        <v>470</v>
      </c>
      <c r="F23" s="40" t="s">
        <v>154</v>
      </c>
      <c r="G23" s="184">
        <v>8</v>
      </c>
      <c r="H23" s="40">
        <v>8</v>
      </c>
      <c r="I23" s="40"/>
      <c r="J23" s="40" t="s">
        <v>127</v>
      </c>
      <c r="K23" s="173">
        <v>76</v>
      </c>
      <c r="L23" s="40">
        <v>100</v>
      </c>
      <c r="M23" s="41">
        <f t="shared" si="0"/>
        <v>0.76</v>
      </c>
      <c r="N23" s="40" t="s">
        <v>49</v>
      </c>
      <c r="O23" s="40" t="s">
        <v>76</v>
      </c>
      <c r="P23" s="40" t="s">
        <v>45</v>
      </c>
      <c r="Q23" s="142"/>
    </row>
    <row r="24" spans="1:17">
      <c r="A24" s="43">
        <v>23</v>
      </c>
      <c r="B24" s="40" t="s">
        <v>315</v>
      </c>
      <c r="C24" s="40" t="s">
        <v>314</v>
      </c>
      <c r="D24" s="40" t="s">
        <v>198</v>
      </c>
      <c r="E24" s="43" t="s">
        <v>470</v>
      </c>
      <c r="F24" s="40" t="s">
        <v>154</v>
      </c>
      <c r="G24" s="184">
        <v>8</v>
      </c>
      <c r="H24" s="40">
        <v>8</v>
      </c>
      <c r="I24" s="43"/>
      <c r="J24" s="40" t="s">
        <v>127</v>
      </c>
      <c r="K24" s="220">
        <v>55</v>
      </c>
      <c r="L24" s="40">
        <v>100</v>
      </c>
      <c r="M24" s="41">
        <f t="shared" si="0"/>
        <v>0.55000000000000004</v>
      </c>
      <c r="N24" s="40" t="s">
        <v>50</v>
      </c>
      <c r="O24" s="40" t="s">
        <v>76</v>
      </c>
      <c r="P24" s="40" t="s">
        <v>45</v>
      </c>
      <c r="Q24" s="142"/>
    </row>
    <row r="25" spans="1:17">
      <c r="A25" s="43">
        <v>24</v>
      </c>
      <c r="B25" s="40" t="s">
        <v>496</v>
      </c>
      <c r="C25" s="40" t="s">
        <v>215</v>
      </c>
      <c r="D25" s="40" t="s">
        <v>497</v>
      </c>
      <c r="E25" s="43" t="s">
        <v>475</v>
      </c>
      <c r="F25" s="40" t="s">
        <v>154</v>
      </c>
      <c r="G25" s="184">
        <v>8</v>
      </c>
      <c r="H25" s="40">
        <v>8</v>
      </c>
      <c r="I25" s="43"/>
      <c r="J25" s="40" t="s">
        <v>127</v>
      </c>
      <c r="K25" s="220">
        <v>29</v>
      </c>
      <c r="L25" s="40">
        <v>100</v>
      </c>
      <c r="M25" s="41">
        <f t="shared" si="0"/>
        <v>0.28999999999999998</v>
      </c>
      <c r="N25" s="40" t="s">
        <v>58</v>
      </c>
      <c r="O25" s="40" t="s">
        <v>76</v>
      </c>
      <c r="P25" s="40" t="s">
        <v>45</v>
      </c>
      <c r="Q25" s="142"/>
    </row>
    <row r="26" spans="1:17">
      <c r="A26" s="43">
        <v>25</v>
      </c>
      <c r="B26" s="40" t="s">
        <v>375</v>
      </c>
      <c r="C26" s="40" t="s">
        <v>238</v>
      </c>
      <c r="D26" s="40" t="s">
        <v>198</v>
      </c>
      <c r="E26" s="43" t="s">
        <v>470</v>
      </c>
      <c r="F26" s="40" t="s">
        <v>154</v>
      </c>
      <c r="G26" s="184">
        <v>8</v>
      </c>
      <c r="H26" s="40">
        <v>8</v>
      </c>
      <c r="I26" s="43"/>
      <c r="J26" s="40" t="s">
        <v>127</v>
      </c>
      <c r="K26" s="220">
        <v>28</v>
      </c>
      <c r="L26" s="40">
        <v>100</v>
      </c>
      <c r="M26" s="41">
        <f t="shared" si="0"/>
        <v>0.28000000000000003</v>
      </c>
      <c r="N26" s="40" t="s">
        <v>58</v>
      </c>
      <c r="O26" s="40" t="s">
        <v>76</v>
      </c>
      <c r="P26" s="40" t="s">
        <v>45</v>
      </c>
      <c r="Q26" s="142"/>
    </row>
    <row r="27" spans="1:17">
      <c r="A27" s="43">
        <v>26</v>
      </c>
      <c r="B27" s="40" t="s">
        <v>498</v>
      </c>
      <c r="C27" s="40" t="s">
        <v>499</v>
      </c>
      <c r="D27" s="40" t="s">
        <v>389</v>
      </c>
      <c r="E27" s="43" t="s">
        <v>475</v>
      </c>
      <c r="F27" s="40" t="s">
        <v>154</v>
      </c>
      <c r="G27" s="184">
        <v>8</v>
      </c>
      <c r="H27" s="40">
        <v>8</v>
      </c>
      <c r="I27" s="43"/>
      <c r="J27" s="40" t="s">
        <v>127</v>
      </c>
      <c r="K27" s="220">
        <v>26</v>
      </c>
      <c r="L27" s="40">
        <v>100</v>
      </c>
      <c r="M27" s="41">
        <f t="shared" si="0"/>
        <v>0.26</v>
      </c>
      <c r="N27" s="40" t="s">
        <v>58</v>
      </c>
      <c r="O27" s="40" t="s">
        <v>76</v>
      </c>
      <c r="P27" s="40" t="s">
        <v>45</v>
      </c>
      <c r="Q27" s="142"/>
    </row>
    <row r="28" spans="1:17">
      <c r="A28" s="43">
        <v>27</v>
      </c>
      <c r="B28" s="40" t="s">
        <v>317</v>
      </c>
      <c r="C28" s="40" t="s">
        <v>316</v>
      </c>
      <c r="D28" s="40" t="s">
        <v>175</v>
      </c>
      <c r="E28" s="43" t="s">
        <v>470</v>
      </c>
      <c r="F28" s="40" t="s">
        <v>154</v>
      </c>
      <c r="G28" s="184">
        <v>8</v>
      </c>
      <c r="H28" s="40">
        <v>8</v>
      </c>
      <c r="I28" s="43"/>
      <c r="J28" s="40" t="s">
        <v>127</v>
      </c>
      <c r="K28" s="220">
        <v>25</v>
      </c>
      <c r="L28" s="40">
        <v>100</v>
      </c>
      <c r="M28" s="41">
        <f t="shared" si="0"/>
        <v>0.25</v>
      </c>
      <c r="N28" s="40" t="s">
        <v>58</v>
      </c>
      <c r="O28" s="40" t="s">
        <v>76</v>
      </c>
      <c r="P28" s="40" t="s">
        <v>45</v>
      </c>
      <c r="Q28" s="142"/>
    </row>
    <row r="29" spans="1:17">
      <c r="A29" s="43">
        <v>28</v>
      </c>
      <c r="B29" s="40" t="s">
        <v>379</v>
      </c>
      <c r="C29" s="40" t="s">
        <v>380</v>
      </c>
      <c r="D29" s="40" t="s">
        <v>175</v>
      </c>
      <c r="E29" s="43" t="s">
        <v>470</v>
      </c>
      <c r="F29" s="40" t="s">
        <v>154</v>
      </c>
      <c r="G29" s="184">
        <v>8</v>
      </c>
      <c r="H29" s="40">
        <v>8</v>
      </c>
      <c r="I29" s="43"/>
      <c r="J29" s="40" t="s">
        <v>127</v>
      </c>
      <c r="K29" s="220">
        <v>24</v>
      </c>
      <c r="L29" s="40">
        <v>100</v>
      </c>
      <c r="M29" s="41">
        <f t="shared" si="0"/>
        <v>0.24</v>
      </c>
      <c r="N29" s="40" t="s">
        <v>58</v>
      </c>
      <c r="O29" s="40" t="s">
        <v>76</v>
      </c>
      <c r="P29" s="40" t="s">
        <v>45</v>
      </c>
      <c r="Q29" s="142"/>
    </row>
    <row r="30" spans="1:17">
      <c r="A30" s="43">
        <v>29</v>
      </c>
      <c r="B30" s="40" t="s">
        <v>325</v>
      </c>
      <c r="C30" s="40" t="s">
        <v>420</v>
      </c>
      <c r="D30" s="40" t="s">
        <v>223</v>
      </c>
      <c r="E30" s="43" t="s">
        <v>470</v>
      </c>
      <c r="F30" s="40" t="s">
        <v>154</v>
      </c>
      <c r="G30" s="184">
        <v>8</v>
      </c>
      <c r="H30" s="40">
        <v>8</v>
      </c>
      <c r="I30" s="43"/>
      <c r="J30" s="40" t="s">
        <v>127</v>
      </c>
      <c r="K30" s="220">
        <v>24</v>
      </c>
      <c r="L30" s="40">
        <v>100</v>
      </c>
      <c r="M30" s="41">
        <f t="shared" si="0"/>
        <v>0.24</v>
      </c>
      <c r="N30" s="40" t="s">
        <v>58</v>
      </c>
      <c r="O30" s="40" t="s">
        <v>76</v>
      </c>
      <c r="P30" s="40" t="s">
        <v>45</v>
      </c>
      <c r="Q30" s="142"/>
    </row>
    <row r="31" spans="1:17">
      <c r="A31" s="43">
        <v>30</v>
      </c>
      <c r="B31" s="40" t="s">
        <v>500</v>
      </c>
      <c r="C31" s="40" t="s">
        <v>501</v>
      </c>
      <c r="D31" s="40" t="s">
        <v>502</v>
      </c>
      <c r="E31" s="43" t="s">
        <v>475</v>
      </c>
      <c r="F31" s="40" t="s">
        <v>154</v>
      </c>
      <c r="G31" s="184">
        <v>8</v>
      </c>
      <c r="H31" s="40">
        <v>8</v>
      </c>
      <c r="I31" s="43"/>
      <c r="J31" s="40" t="s">
        <v>127</v>
      </c>
      <c r="K31" s="220">
        <v>23</v>
      </c>
      <c r="L31" s="40">
        <v>100</v>
      </c>
      <c r="M31" s="41">
        <f t="shared" si="0"/>
        <v>0.23</v>
      </c>
      <c r="N31" s="40" t="s">
        <v>58</v>
      </c>
      <c r="O31" s="40" t="s">
        <v>76</v>
      </c>
      <c r="P31" s="40" t="s">
        <v>45</v>
      </c>
      <c r="Q31" s="142"/>
    </row>
    <row r="32" spans="1:17">
      <c r="A32" s="43">
        <v>31</v>
      </c>
      <c r="B32" s="40" t="s">
        <v>503</v>
      </c>
      <c r="C32" s="40" t="s">
        <v>188</v>
      </c>
      <c r="D32" s="40" t="s">
        <v>213</v>
      </c>
      <c r="E32" s="43" t="s">
        <v>475</v>
      </c>
      <c r="F32" s="40" t="s">
        <v>154</v>
      </c>
      <c r="G32" s="184">
        <v>8</v>
      </c>
      <c r="H32" s="40">
        <v>8</v>
      </c>
      <c r="I32" s="43"/>
      <c r="J32" s="40" t="s">
        <v>127</v>
      </c>
      <c r="K32" s="220">
        <v>23</v>
      </c>
      <c r="L32" s="40">
        <v>100</v>
      </c>
      <c r="M32" s="41">
        <f t="shared" si="0"/>
        <v>0.23</v>
      </c>
      <c r="N32" s="40" t="s">
        <v>58</v>
      </c>
      <c r="O32" s="40" t="s">
        <v>76</v>
      </c>
      <c r="P32" s="40" t="s">
        <v>45</v>
      </c>
      <c r="Q32" s="142"/>
    </row>
    <row r="33" spans="1:17">
      <c r="A33" s="43">
        <v>32</v>
      </c>
      <c r="B33" s="40" t="s">
        <v>448</v>
      </c>
      <c r="C33" s="40" t="s">
        <v>255</v>
      </c>
      <c r="D33" s="40" t="s">
        <v>449</v>
      </c>
      <c r="E33" s="43" t="s">
        <v>470</v>
      </c>
      <c r="F33" s="40" t="s">
        <v>154</v>
      </c>
      <c r="G33" s="184">
        <v>8</v>
      </c>
      <c r="H33" s="40">
        <v>8</v>
      </c>
      <c r="I33" s="43"/>
      <c r="J33" s="40" t="s">
        <v>127</v>
      </c>
      <c r="K33" s="220">
        <v>23</v>
      </c>
      <c r="L33" s="40">
        <v>100</v>
      </c>
      <c r="M33" s="41">
        <f t="shared" si="0"/>
        <v>0.23</v>
      </c>
      <c r="N33" s="40" t="s">
        <v>58</v>
      </c>
      <c r="O33" s="40" t="s">
        <v>76</v>
      </c>
      <c r="P33" s="40" t="s">
        <v>45</v>
      </c>
      <c r="Q33" s="142"/>
    </row>
    <row r="34" spans="1:17">
      <c r="A34" s="43">
        <v>33</v>
      </c>
      <c r="B34" s="40" t="s">
        <v>504</v>
      </c>
      <c r="C34" s="40" t="s">
        <v>367</v>
      </c>
      <c r="D34" s="40" t="s">
        <v>505</v>
      </c>
      <c r="E34" s="43" t="s">
        <v>475</v>
      </c>
      <c r="F34" s="40" t="s">
        <v>154</v>
      </c>
      <c r="G34" s="184">
        <v>8</v>
      </c>
      <c r="H34" s="40">
        <v>8</v>
      </c>
      <c r="I34" s="43"/>
      <c r="J34" s="40" t="s">
        <v>127</v>
      </c>
      <c r="K34" s="220">
        <v>21</v>
      </c>
      <c r="L34" s="40">
        <v>100</v>
      </c>
      <c r="M34" s="41">
        <f t="shared" si="0"/>
        <v>0.21</v>
      </c>
      <c r="N34" s="40" t="s">
        <v>58</v>
      </c>
      <c r="O34" s="40" t="s">
        <v>76</v>
      </c>
      <c r="P34" s="40" t="s">
        <v>45</v>
      </c>
      <c r="Q34" s="142"/>
    </row>
    <row r="35" spans="1:17">
      <c r="A35" s="43">
        <v>34</v>
      </c>
      <c r="B35" s="40" t="s">
        <v>450</v>
      </c>
      <c r="C35" s="40" t="s">
        <v>326</v>
      </c>
      <c r="D35" s="40" t="s">
        <v>451</v>
      </c>
      <c r="E35" s="43" t="s">
        <v>475</v>
      </c>
      <c r="F35" s="40" t="s">
        <v>154</v>
      </c>
      <c r="G35" s="184">
        <v>8</v>
      </c>
      <c r="H35" s="40">
        <v>8</v>
      </c>
      <c r="I35" s="43"/>
      <c r="J35" s="40" t="s">
        <v>127</v>
      </c>
      <c r="K35" s="220">
        <v>20</v>
      </c>
      <c r="L35" s="40">
        <v>100</v>
      </c>
      <c r="M35" s="41">
        <f t="shared" si="0"/>
        <v>0.2</v>
      </c>
      <c r="N35" s="40" t="s">
        <v>58</v>
      </c>
      <c r="O35" s="40" t="s">
        <v>76</v>
      </c>
      <c r="P35" s="40" t="s">
        <v>45</v>
      </c>
      <c r="Q35" s="142"/>
    </row>
    <row r="36" spans="1:17">
      <c r="A36" s="43">
        <v>35</v>
      </c>
      <c r="B36" s="40" t="s">
        <v>506</v>
      </c>
      <c r="C36" s="40" t="s">
        <v>499</v>
      </c>
      <c r="D36" s="40" t="s">
        <v>507</v>
      </c>
      <c r="E36" s="43" t="s">
        <v>475</v>
      </c>
      <c r="F36" s="40" t="s">
        <v>154</v>
      </c>
      <c r="G36" s="184">
        <v>8</v>
      </c>
      <c r="H36" s="40">
        <v>8</v>
      </c>
      <c r="I36" s="43"/>
      <c r="J36" s="40" t="s">
        <v>127</v>
      </c>
      <c r="K36" s="220">
        <v>16</v>
      </c>
      <c r="L36" s="40">
        <v>100</v>
      </c>
      <c r="M36" s="41">
        <f t="shared" si="0"/>
        <v>0.16</v>
      </c>
      <c r="N36" s="40" t="s">
        <v>58</v>
      </c>
      <c r="O36" s="40" t="s">
        <v>76</v>
      </c>
      <c r="P36" s="40" t="s">
        <v>45</v>
      </c>
      <c r="Q36" s="142"/>
    </row>
    <row r="37" spans="1:17">
      <c r="A37" s="43">
        <v>36</v>
      </c>
      <c r="B37" s="40" t="s">
        <v>336</v>
      </c>
      <c r="C37" s="40" t="s">
        <v>508</v>
      </c>
      <c r="D37" s="40" t="s">
        <v>509</v>
      </c>
      <c r="E37" s="43" t="s">
        <v>470</v>
      </c>
      <c r="F37" s="40" t="s">
        <v>154</v>
      </c>
      <c r="G37" s="184">
        <v>9</v>
      </c>
      <c r="H37" s="40">
        <v>9</v>
      </c>
      <c r="I37" s="43"/>
      <c r="J37" s="40" t="s">
        <v>127</v>
      </c>
      <c r="K37" s="220">
        <v>51</v>
      </c>
      <c r="L37" s="40">
        <v>100</v>
      </c>
      <c r="M37" s="41">
        <f t="shared" si="0"/>
        <v>0.51</v>
      </c>
      <c r="N37" s="40" t="s">
        <v>49</v>
      </c>
      <c r="O37" s="40" t="s">
        <v>76</v>
      </c>
      <c r="P37" s="40" t="s">
        <v>45</v>
      </c>
      <c r="Q37" s="142"/>
    </row>
    <row r="38" spans="1:17">
      <c r="A38" s="43">
        <v>37</v>
      </c>
      <c r="B38" s="40" t="s">
        <v>241</v>
      </c>
      <c r="C38" s="40" t="s">
        <v>242</v>
      </c>
      <c r="D38" s="40" t="s">
        <v>243</v>
      </c>
      <c r="E38" s="43" t="s">
        <v>470</v>
      </c>
      <c r="F38" s="40" t="s">
        <v>154</v>
      </c>
      <c r="G38" s="184">
        <v>9</v>
      </c>
      <c r="H38" s="40">
        <v>9</v>
      </c>
      <c r="I38" s="43"/>
      <c r="J38" s="40" t="s">
        <v>127</v>
      </c>
      <c r="K38" s="220">
        <v>47</v>
      </c>
      <c r="L38" s="40">
        <v>100</v>
      </c>
      <c r="M38" s="41">
        <f t="shared" si="0"/>
        <v>0.47</v>
      </c>
      <c r="N38" s="40" t="s">
        <v>50</v>
      </c>
      <c r="O38" s="40" t="s">
        <v>76</v>
      </c>
      <c r="P38" s="40" t="s">
        <v>45</v>
      </c>
      <c r="Q38" s="142"/>
    </row>
    <row r="39" spans="1:17">
      <c r="A39" s="43">
        <v>38</v>
      </c>
      <c r="B39" s="40" t="s">
        <v>219</v>
      </c>
      <c r="C39" s="40" t="s">
        <v>204</v>
      </c>
      <c r="D39" s="40" t="s">
        <v>220</v>
      </c>
      <c r="E39" s="43" t="s">
        <v>470</v>
      </c>
      <c r="F39" s="40" t="s">
        <v>154</v>
      </c>
      <c r="G39" s="184">
        <v>9</v>
      </c>
      <c r="H39" s="40">
        <v>9</v>
      </c>
      <c r="I39" s="43"/>
      <c r="J39" s="40" t="s">
        <v>127</v>
      </c>
      <c r="K39" s="220">
        <v>43</v>
      </c>
      <c r="L39" s="40">
        <v>100</v>
      </c>
      <c r="M39" s="41">
        <f t="shared" si="0"/>
        <v>0.43</v>
      </c>
      <c r="N39" s="40" t="s">
        <v>58</v>
      </c>
      <c r="O39" s="40" t="s">
        <v>76</v>
      </c>
      <c r="P39" s="40" t="s">
        <v>45</v>
      </c>
      <c r="Q39" s="142"/>
    </row>
    <row r="40" spans="1:17">
      <c r="A40" s="43">
        <v>39</v>
      </c>
      <c r="B40" s="40" t="s">
        <v>221</v>
      </c>
      <c r="C40" s="40" t="s">
        <v>177</v>
      </c>
      <c r="D40" s="40" t="s">
        <v>220</v>
      </c>
      <c r="E40" s="43" t="s">
        <v>470</v>
      </c>
      <c r="F40" s="40" t="s">
        <v>154</v>
      </c>
      <c r="G40" s="184">
        <v>9</v>
      </c>
      <c r="H40" s="40">
        <v>9</v>
      </c>
      <c r="I40" s="43"/>
      <c r="J40" s="40" t="s">
        <v>127</v>
      </c>
      <c r="K40" s="220">
        <v>39</v>
      </c>
      <c r="L40" s="40">
        <v>100</v>
      </c>
      <c r="M40" s="41">
        <f t="shared" si="0"/>
        <v>0.39</v>
      </c>
      <c r="N40" s="40" t="s">
        <v>58</v>
      </c>
      <c r="O40" s="40" t="s">
        <v>76</v>
      </c>
      <c r="P40" s="40" t="s">
        <v>45</v>
      </c>
      <c r="Q40" s="142"/>
    </row>
    <row r="41" spans="1:17">
      <c r="A41" s="43">
        <v>40</v>
      </c>
      <c r="B41" s="40" t="s">
        <v>510</v>
      </c>
      <c r="C41" s="40" t="s">
        <v>229</v>
      </c>
      <c r="D41" s="40" t="s">
        <v>235</v>
      </c>
      <c r="E41" s="43" t="s">
        <v>470</v>
      </c>
      <c r="F41" s="40" t="s">
        <v>154</v>
      </c>
      <c r="G41" s="184">
        <v>9</v>
      </c>
      <c r="H41" s="40">
        <v>9</v>
      </c>
      <c r="I41" s="43"/>
      <c r="J41" s="40" t="s">
        <v>127</v>
      </c>
      <c r="K41" s="220">
        <v>32</v>
      </c>
      <c r="L41" s="40">
        <v>100</v>
      </c>
      <c r="M41" s="41">
        <f t="shared" si="0"/>
        <v>0.32</v>
      </c>
      <c r="N41" s="40" t="s">
        <v>58</v>
      </c>
      <c r="O41" s="40" t="s">
        <v>76</v>
      </c>
      <c r="P41" s="40" t="s">
        <v>45</v>
      </c>
      <c r="Q41" s="142"/>
    </row>
    <row r="42" spans="1:17">
      <c r="A42" s="43">
        <v>41</v>
      </c>
      <c r="B42" s="40" t="s">
        <v>230</v>
      </c>
      <c r="C42" s="40" t="s">
        <v>200</v>
      </c>
      <c r="D42" s="40" t="s">
        <v>210</v>
      </c>
      <c r="E42" s="43" t="s">
        <v>470</v>
      </c>
      <c r="F42" s="40" t="s">
        <v>154</v>
      </c>
      <c r="G42" s="184">
        <v>9</v>
      </c>
      <c r="H42" s="40">
        <v>9</v>
      </c>
      <c r="I42" s="43"/>
      <c r="J42" s="40" t="s">
        <v>127</v>
      </c>
      <c r="K42" s="220">
        <v>31</v>
      </c>
      <c r="L42" s="40">
        <v>100</v>
      </c>
      <c r="M42" s="41">
        <f t="shared" si="0"/>
        <v>0.31</v>
      </c>
      <c r="N42" s="40" t="s">
        <v>58</v>
      </c>
      <c r="O42" s="40" t="s">
        <v>76</v>
      </c>
      <c r="P42" s="40" t="s">
        <v>45</v>
      </c>
      <c r="Q42" s="142"/>
    </row>
    <row r="43" spans="1:17">
      <c r="A43" s="43">
        <v>42</v>
      </c>
      <c r="B43" s="40" t="s">
        <v>332</v>
      </c>
      <c r="C43" s="40" t="s">
        <v>333</v>
      </c>
      <c r="D43" s="40" t="s">
        <v>334</v>
      </c>
      <c r="E43" s="43" t="s">
        <v>475</v>
      </c>
      <c r="F43" s="40" t="s">
        <v>154</v>
      </c>
      <c r="G43" s="184">
        <v>9</v>
      </c>
      <c r="H43" s="40">
        <v>9</v>
      </c>
      <c r="I43" s="43"/>
      <c r="J43" s="40" t="s">
        <v>127</v>
      </c>
      <c r="K43" s="220">
        <v>28</v>
      </c>
      <c r="L43" s="40">
        <v>100</v>
      </c>
      <c r="M43" s="41">
        <f t="shared" si="0"/>
        <v>0.28000000000000003</v>
      </c>
      <c r="N43" s="40" t="s">
        <v>58</v>
      </c>
      <c r="O43" s="40" t="s">
        <v>76</v>
      </c>
      <c r="P43" s="40" t="s">
        <v>45</v>
      </c>
      <c r="Q43" s="142"/>
    </row>
    <row r="44" spans="1:17">
      <c r="A44" s="43">
        <v>43</v>
      </c>
      <c r="B44" s="40" t="s">
        <v>236</v>
      </c>
      <c r="C44" s="40" t="s">
        <v>237</v>
      </c>
      <c r="D44" s="40" t="s">
        <v>233</v>
      </c>
      <c r="E44" s="43" t="s">
        <v>470</v>
      </c>
      <c r="F44" s="40" t="s">
        <v>154</v>
      </c>
      <c r="G44" s="184">
        <v>9</v>
      </c>
      <c r="H44" s="40">
        <v>9</v>
      </c>
      <c r="I44" s="43"/>
      <c r="J44" s="40" t="s">
        <v>127</v>
      </c>
      <c r="K44" s="220">
        <v>20</v>
      </c>
      <c r="L44" s="40">
        <v>100</v>
      </c>
      <c r="M44" s="41">
        <f t="shared" si="0"/>
        <v>0.2</v>
      </c>
      <c r="N44" s="40" t="s">
        <v>58</v>
      </c>
      <c r="O44" s="40" t="s">
        <v>76</v>
      </c>
      <c r="P44" s="40" t="s">
        <v>45</v>
      </c>
      <c r="Q44" s="142"/>
    </row>
    <row r="45" spans="1:17">
      <c r="A45" s="43">
        <v>44</v>
      </c>
      <c r="B45" s="40" t="s">
        <v>453</v>
      </c>
      <c r="C45" s="40" t="s">
        <v>440</v>
      </c>
      <c r="D45" s="40" t="s">
        <v>246</v>
      </c>
      <c r="E45" s="43" t="s">
        <v>475</v>
      </c>
      <c r="F45" s="40" t="s">
        <v>154</v>
      </c>
      <c r="G45" s="184">
        <v>9</v>
      </c>
      <c r="H45" s="40">
        <v>9</v>
      </c>
      <c r="I45" s="43"/>
      <c r="J45" s="40" t="s">
        <v>127</v>
      </c>
      <c r="K45" s="220">
        <v>20</v>
      </c>
      <c r="L45" s="40">
        <v>100</v>
      </c>
      <c r="M45" s="41">
        <f t="shared" si="0"/>
        <v>0.2</v>
      </c>
      <c r="N45" s="40" t="s">
        <v>58</v>
      </c>
      <c r="O45" s="40" t="s">
        <v>76</v>
      </c>
      <c r="P45" s="40" t="s">
        <v>45</v>
      </c>
      <c r="Q45" s="142"/>
    </row>
    <row r="46" spans="1:17">
      <c r="A46" s="43">
        <v>45</v>
      </c>
      <c r="B46" s="40" t="s">
        <v>511</v>
      </c>
      <c r="C46" s="40" t="s">
        <v>320</v>
      </c>
      <c r="D46" s="40" t="s">
        <v>246</v>
      </c>
      <c r="E46" s="43" t="s">
        <v>475</v>
      </c>
      <c r="F46" s="40" t="s">
        <v>154</v>
      </c>
      <c r="G46" s="184">
        <v>9</v>
      </c>
      <c r="H46" s="40">
        <v>9</v>
      </c>
      <c r="I46" s="43"/>
      <c r="J46" s="40" t="s">
        <v>127</v>
      </c>
      <c r="K46" s="220">
        <v>19</v>
      </c>
      <c r="L46" s="40">
        <v>100</v>
      </c>
      <c r="M46" s="41">
        <f t="shared" si="0"/>
        <v>0.19</v>
      </c>
      <c r="N46" s="40" t="s">
        <v>58</v>
      </c>
      <c r="O46" s="40" t="s">
        <v>76</v>
      </c>
      <c r="P46" s="40" t="s">
        <v>45</v>
      </c>
      <c r="Q46" s="142"/>
    </row>
    <row r="47" spans="1:17">
      <c r="A47" s="43">
        <v>46</v>
      </c>
      <c r="B47" s="40" t="s">
        <v>512</v>
      </c>
      <c r="C47" s="40" t="s">
        <v>513</v>
      </c>
      <c r="D47" s="40" t="s">
        <v>497</v>
      </c>
      <c r="E47" s="43" t="s">
        <v>475</v>
      </c>
      <c r="F47" s="40" t="s">
        <v>154</v>
      </c>
      <c r="G47" s="184">
        <v>9</v>
      </c>
      <c r="H47" s="40">
        <v>9</v>
      </c>
      <c r="I47" s="43"/>
      <c r="J47" s="40" t="s">
        <v>127</v>
      </c>
      <c r="K47" s="220">
        <v>19</v>
      </c>
      <c r="L47" s="40">
        <v>100</v>
      </c>
      <c r="M47" s="41">
        <f t="shared" si="0"/>
        <v>0.19</v>
      </c>
      <c r="N47" s="40" t="s">
        <v>58</v>
      </c>
      <c r="O47" s="40" t="s">
        <v>76</v>
      </c>
      <c r="P47" s="40" t="s">
        <v>45</v>
      </c>
      <c r="Q47" s="142"/>
    </row>
    <row r="48" spans="1:17">
      <c r="A48" s="43">
        <v>47</v>
      </c>
      <c r="B48" s="40" t="s">
        <v>514</v>
      </c>
      <c r="C48" s="40" t="s">
        <v>515</v>
      </c>
      <c r="D48" s="40"/>
      <c r="E48" s="43" t="s">
        <v>470</v>
      </c>
      <c r="F48" s="40" t="s">
        <v>154</v>
      </c>
      <c r="G48" s="184">
        <v>9</v>
      </c>
      <c r="H48" s="40">
        <v>9</v>
      </c>
      <c r="I48" s="43"/>
      <c r="J48" s="40" t="s">
        <v>127</v>
      </c>
      <c r="K48" s="220">
        <v>19</v>
      </c>
      <c r="L48" s="40">
        <v>100</v>
      </c>
      <c r="M48" s="41">
        <f t="shared" si="0"/>
        <v>0.19</v>
      </c>
      <c r="N48" s="40" t="s">
        <v>58</v>
      </c>
      <c r="O48" s="40" t="s">
        <v>76</v>
      </c>
      <c r="P48" s="40" t="s">
        <v>45</v>
      </c>
      <c r="Q48" s="142"/>
    </row>
    <row r="49" spans="1:17">
      <c r="A49" s="43">
        <v>48</v>
      </c>
      <c r="B49" s="40" t="s">
        <v>254</v>
      </c>
      <c r="C49" s="40" t="s">
        <v>255</v>
      </c>
      <c r="D49" s="40" t="s">
        <v>313</v>
      </c>
      <c r="E49" s="43" t="s">
        <v>470</v>
      </c>
      <c r="F49" s="40" t="s">
        <v>154</v>
      </c>
      <c r="G49" s="184">
        <v>9</v>
      </c>
      <c r="H49" s="40">
        <v>9</v>
      </c>
      <c r="I49" s="43"/>
      <c r="J49" s="40" t="s">
        <v>127</v>
      </c>
      <c r="K49" s="220">
        <v>13</v>
      </c>
      <c r="L49" s="40">
        <v>100</v>
      </c>
      <c r="M49" s="41">
        <f t="shared" si="0"/>
        <v>0.13</v>
      </c>
      <c r="N49" s="40" t="s">
        <v>58</v>
      </c>
      <c r="O49" s="40" t="s">
        <v>76</v>
      </c>
      <c r="P49" s="40" t="s">
        <v>45</v>
      </c>
      <c r="Q49" s="142"/>
    </row>
    <row r="50" spans="1:17">
      <c r="A50" s="43">
        <v>49</v>
      </c>
      <c r="B50" s="40" t="s">
        <v>342</v>
      </c>
      <c r="C50" s="40" t="s">
        <v>343</v>
      </c>
      <c r="D50" s="40" t="s">
        <v>516</v>
      </c>
      <c r="E50" s="43" t="s">
        <v>475</v>
      </c>
      <c r="F50" s="40" t="s">
        <v>154</v>
      </c>
      <c r="G50" s="184">
        <v>9</v>
      </c>
      <c r="H50" s="40">
        <v>9</v>
      </c>
      <c r="I50" s="43"/>
      <c r="J50" s="40" t="s">
        <v>127</v>
      </c>
      <c r="K50" s="220">
        <v>12</v>
      </c>
      <c r="L50" s="40">
        <v>100</v>
      </c>
      <c r="M50" s="41">
        <f t="shared" si="0"/>
        <v>0.12</v>
      </c>
      <c r="N50" s="40" t="s">
        <v>58</v>
      </c>
      <c r="O50" s="40" t="s">
        <v>76</v>
      </c>
      <c r="P50" s="40" t="s">
        <v>45</v>
      </c>
      <c r="Q50" s="142"/>
    </row>
    <row r="51" spans="1:17">
      <c r="A51" s="43">
        <v>50</v>
      </c>
      <c r="B51" s="40" t="s">
        <v>517</v>
      </c>
      <c r="C51" s="40" t="s">
        <v>200</v>
      </c>
      <c r="D51" s="40" t="s">
        <v>210</v>
      </c>
      <c r="E51" s="43" t="s">
        <v>470</v>
      </c>
      <c r="F51" s="40" t="s">
        <v>154</v>
      </c>
      <c r="G51" s="184">
        <v>9</v>
      </c>
      <c r="H51" s="40">
        <v>9</v>
      </c>
      <c r="I51" s="43"/>
      <c r="J51" s="40" t="s">
        <v>127</v>
      </c>
      <c r="K51" s="220">
        <v>11</v>
      </c>
      <c r="L51" s="40">
        <v>100</v>
      </c>
      <c r="M51" s="41">
        <f t="shared" si="0"/>
        <v>0.11</v>
      </c>
      <c r="N51" s="40" t="s">
        <v>58</v>
      </c>
      <c r="O51" s="40" t="s">
        <v>76</v>
      </c>
      <c r="P51" s="40" t="s">
        <v>45</v>
      </c>
      <c r="Q51" s="142"/>
    </row>
    <row r="52" spans="1:17">
      <c r="A52" s="43">
        <v>51</v>
      </c>
      <c r="B52" s="40" t="s">
        <v>518</v>
      </c>
      <c r="C52" s="40" t="s">
        <v>515</v>
      </c>
      <c r="D52" s="40" t="s">
        <v>396</v>
      </c>
      <c r="E52" s="43" t="s">
        <v>470</v>
      </c>
      <c r="F52" s="40" t="s">
        <v>154</v>
      </c>
      <c r="G52" s="184">
        <v>9</v>
      </c>
      <c r="H52" s="40">
        <v>9</v>
      </c>
      <c r="I52" s="43"/>
      <c r="J52" s="40" t="s">
        <v>127</v>
      </c>
      <c r="K52" s="220">
        <v>10</v>
      </c>
      <c r="L52" s="40">
        <v>100</v>
      </c>
      <c r="M52" s="41">
        <f t="shared" si="0"/>
        <v>0.1</v>
      </c>
      <c r="N52" s="40" t="s">
        <v>58</v>
      </c>
      <c r="O52" s="40" t="s">
        <v>76</v>
      </c>
      <c r="P52" s="40" t="s">
        <v>45</v>
      </c>
      <c r="Q52" s="142"/>
    </row>
    <row r="53" spans="1:17">
      <c r="A53" s="43">
        <v>52</v>
      </c>
      <c r="B53" s="40" t="s">
        <v>221</v>
      </c>
      <c r="C53" s="40" t="s">
        <v>200</v>
      </c>
      <c r="D53" s="40" t="s">
        <v>519</v>
      </c>
      <c r="E53" s="43" t="s">
        <v>470</v>
      </c>
      <c r="F53" s="40" t="s">
        <v>154</v>
      </c>
      <c r="G53" s="184">
        <v>9</v>
      </c>
      <c r="H53" s="40">
        <v>9</v>
      </c>
      <c r="I53" s="43"/>
      <c r="J53" s="40" t="s">
        <v>127</v>
      </c>
      <c r="K53" s="220">
        <v>5</v>
      </c>
      <c r="L53" s="40">
        <v>100</v>
      </c>
      <c r="M53" s="41">
        <f t="shared" si="0"/>
        <v>0.05</v>
      </c>
      <c r="N53" s="40" t="s">
        <v>58</v>
      </c>
      <c r="O53" s="40" t="s">
        <v>76</v>
      </c>
      <c r="P53" s="40" t="s">
        <v>45</v>
      </c>
      <c r="Q53" s="142"/>
    </row>
    <row r="54" spans="1:17">
      <c r="A54" s="43">
        <v>53</v>
      </c>
      <c r="B54" s="40" t="s">
        <v>520</v>
      </c>
      <c r="C54" s="40" t="s">
        <v>367</v>
      </c>
      <c r="D54" s="40" t="s">
        <v>357</v>
      </c>
      <c r="E54" s="43" t="s">
        <v>475</v>
      </c>
      <c r="F54" s="40" t="s">
        <v>154</v>
      </c>
      <c r="G54" s="184">
        <v>10</v>
      </c>
      <c r="H54" s="40">
        <v>10</v>
      </c>
      <c r="I54" s="43"/>
      <c r="J54" s="40" t="s">
        <v>127</v>
      </c>
      <c r="K54" s="220">
        <v>45</v>
      </c>
      <c r="L54" s="40">
        <v>100</v>
      </c>
      <c r="M54" s="41">
        <f t="shared" si="0"/>
        <v>0.45</v>
      </c>
      <c r="N54" s="40" t="s">
        <v>50</v>
      </c>
      <c r="O54" s="40" t="s">
        <v>76</v>
      </c>
      <c r="P54" s="40" t="s">
        <v>45</v>
      </c>
      <c r="Q54" s="142"/>
    </row>
    <row r="55" spans="1:17">
      <c r="A55" s="43">
        <v>54</v>
      </c>
      <c r="B55" s="40" t="s">
        <v>521</v>
      </c>
      <c r="C55" s="40" t="s">
        <v>522</v>
      </c>
      <c r="D55" s="40" t="s">
        <v>410</v>
      </c>
      <c r="E55" s="43" t="s">
        <v>475</v>
      </c>
      <c r="F55" s="40" t="s">
        <v>154</v>
      </c>
      <c r="G55" s="184">
        <v>10</v>
      </c>
      <c r="H55" s="40">
        <v>10</v>
      </c>
      <c r="I55" s="43"/>
      <c r="J55" s="40" t="s">
        <v>127</v>
      </c>
      <c r="K55" s="220">
        <v>45</v>
      </c>
      <c r="L55" s="40">
        <v>100</v>
      </c>
      <c r="M55" s="41">
        <f t="shared" si="0"/>
        <v>0.45</v>
      </c>
      <c r="N55" s="40" t="s">
        <v>50</v>
      </c>
      <c r="O55" s="40" t="s">
        <v>76</v>
      </c>
      <c r="P55" s="40" t="s">
        <v>45</v>
      </c>
      <c r="Q55" s="142"/>
    </row>
    <row r="56" spans="1:17">
      <c r="A56" s="43">
        <v>55</v>
      </c>
      <c r="B56" s="40" t="s">
        <v>322</v>
      </c>
      <c r="C56" s="40" t="s">
        <v>173</v>
      </c>
      <c r="D56" s="40" t="s">
        <v>210</v>
      </c>
      <c r="E56" s="43" t="s">
        <v>470</v>
      </c>
      <c r="F56" s="40" t="s">
        <v>154</v>
      </c>
      <c r="G56" s="184">
        <v>10</v>
      </c>
      <c r="H56" s="40">
        <v>10</v>
      </c>
      <c r="I56" s="43"/>
      <c r="J56" s="40" t="s">
        <v>127</v>
      </c>
      <c r="K56" s="220">
        <v>41</v>
      </c>
      <c r="L56" s="40">
        <v>100</v>
      </c>
      <c r="M56" s="41">
        <f t="shared" si="0"/>
        <v>0.41</v>
      </c>
      <c r="N56" s="40" t="s">
        <v>58</v>
      </c>
      <c r="O56" s="40" t="s">
        <v>76</v>
      </c>
      <c r="P56" s="40" t="s">
        <v>45</v>
      </c>
      <c r="Q56" s="142"/>
    </row>
    <row r="57" spans="1:17">
      <c r="A57" s="43">
        <v>56</v>
      </c>
      <c r="B57" s="40" t="s">
        <v>412</v>
      </c>
      <c r="C57" s="40" t="s">
        <v>413</v>
      </c>
      <c r="D57" s="40" t="s">
        <v>235</v>
      </c>
      <c r="E57" s="43" t="s">
        <v>470</v>
      </c>
      <c r="F57" s="40" t="s">
        <v>154</v>
      </c>
      <c r="G57" s="184">
        <v>10</v>
      </c>
      <c r="H57" s="40">
        <v>10</v>
      </c>
      <c r="I57" s="43"/>
      <c r="J57" s="40" t="s">
        <v>127</v>
      </c>
      <c r="K57" s="220">
        <v>39</v>
      </c>
      <c r="L57" s="40">
        <v>100</v>
      </c>
      <c r="M57" s="41">
        <f t="shared" si="0"/>
        <v>0.39</v>
      </c>
      <c r="N57" s="40" t="s">
        <v>58</v>
      </c>
      <c r="O57" s="40" t="s">
        <v>76</v>
      </c>
      <c r="P57" s="40" t="s">
        <v>45</v>
      </c>
      <c r="Q57" s="142"/>
    </row>
    <row r="58" spans="1:17">
      <c r="A58" s="43">
        <v>57</v>
      </c>
      <c r="B58" s="40" t="s">
        <v>523</v>
      </c>
      <c r="C58" s="40" t="s">
        <v>380</v>
      </c>
      <c r="D58" s="40" t="s">
        <v>220</v>
      </c>
      <c r="E58" s="43" t="s">
        <v>470</v>
      </c>
      <c r="F58" s="40" t="s">
        <v>154</v>
      </c>
      <c r="G58" s="184">
        <v>10</v>
      </c>
      <c r="H58" s="40">
        <v>10</v>
      </c>
      <c r="I58" s="43"/>
      <c r="J58" s="40" t="s">
        <v>127</v>
      </c>
      <c r="K58" s="220">
        <v>39</v>
      </c>
      <c r="L58" s="40">
        <v>100</v>
      </c>
      <c r="M58" s="41">
        <f t="shared" si="0"/>
        <v>0.39</v>
      </c>
      <c r="N58" s="40" t="s">
        <v>58</v>
      </c>
      <c r="O58" s="40" t="s">
        <v>76</v>
      </c>
      <c r="P58" s="40" t="s">
        <v>45</v>
      </c>
      <c r="Q58" s="142"/>
    </row>
    <row r="59" spans="1:17">
      <c r="A59" s="43">
        <v>58</v>
      </c>
      <c r="B59" s="40" t="s">
        <v>424</v>
      </c>
      <c r="C59" s="40" t="s">
        <v>524</v>
      </c>
      <c r="D59" s="40" t="s">
        <v>426</v>
      </c>
      <c r="E59" s="43" t="s">
        <v>470</v>
      </c>
      <c r="F59" s="40" t="s">
        <v>154</v>
      </c>
      <c r="G59" s="184">
        <v>10</v>
      </c>
      <c r="H59" s="40">
        <v>10</v>
      </c>
      <c r="I59" s="43"/>
      <c r="J59" s="40" t="s">
        <v>127</v>
      </c>
      <c r="K59" s="220">
        <v>39</v>
      </c>
      <c r="L59" s="40">
        <v>100</v>
      </c>
      <c r="M59" s="41">
        <f t="shared" si="0"/>
        <v>0.39</v>
      </c>
      <c r="N59" s="40" t="s">
        <v>58</v>
      </c>
      <c r="O59" s="40" t="s">
        <v>76</v>
      </c>
      <c r="P59" s="40" t="s">
        <v>45</v>
      </c>
      <c r="Q59" s="142"/>
    </row>
    <row r="60" spans="1:17">
      <c r="A60" s="43">
        <v>59</v>
      </c>
      <c r="B60" s="40" t="s">
        <v>325</v>
      </c>
      <c r="C60" s="40" t="s">
        <v>171</v>
      </c>
      <c r="D60" s="40" t="s">
        <v>223</v>
      </c>
      <c r="E60" s="43" t="s">
        <v>470</v>
      </c>
      <c r="F60" s="40" t="s">
        <v>154</v>
      </c>
      <c r="G60" s="184">
        <v>10</v>
      </c>
      <c r="H60" s="40">
        <v>10</v>
      </c>
      <c r="I60" s="43"/>
      <c r="J60" s="40" t="s">
        <v>127</v>
      </c>
      <c r="K60" s="220">
        <v>38</v>
      </c>
      <c r="L60" s="40">
        <v>100</v>
      </c>
      <c r="M60" s="41">
        <f t="shared" si="0"/>
        <v>0.38</v>
      </c>
      <c r="N60" s="40" t="s">
        <v>58</v>
      </c>
      <c r="O60" s="40" t="s">
        <v>76</v>
      </c>
      <c r="P60" s="40" t="s">
        <v>45</v>
      </c>
      <c r="Q60" s="142"/>
    </row>
    <row r="61" spans="1:17">
      <c r="A61" s="43">
        <v>60</v>
      </c>
      <c r="B61" s="40" t="s">
        <v>424</v>
      </c>
      <c r="C61" s="40" t="s">
        <v>425</v>
      </c>
      <c r="D61" s="40" t="s">
        <v>426</v>
      </c>
      <c r="E61" s="43" t="s">
        <v>470</v>
      </c>
      <c r="F61" s="40" t="s">
        <v>154</v>
      </c>
      <c r="G61" s="184">
        <v>10</v>
      </c>
      <c r="H61" s="40">
        <v>10</v>
      </c>
      <c r="I61" s="43"/>
      <c r="J61" s="40" t="s">
        <v>127</v>
      </c>
      <c r="K61" s="220">
        <v>27</v>
      </c>
      <c r="L61" s="40">
        <v>100</v>
      </c>
      <c r="M61" s="41">
        <f t="shared" si="0"/>
        <v>0.27</v>
      </c>
      <c r="N61" s="40" t="s">
        <v>58</v>
      </c>
      <c r="O61" s="40" t="s">
        <v>76</v>
      </c>
      <c r="P61" s="40" t="s">
        <v>45</v>
      </c>
      <c r="Q61" s="142"/>
    </row>
    <row r="62" spans="1:17">
      <c r="A62" s="43">
        <v>61</v>
      </c>
      <c r="B62" s="40" t="s">
        <v>525</v>
      </c>
      <c r="C62" s="40" t="s">
        <v>294</v>
      </c>
      <c r="D62" s="40" t="s">
        <v>175</v>
      </c>
      <c r="E62" s="43" t="s">
        <v>470</v>
      </c>
      <c r="F62" s="40" t="s">
        <v>154</v>
      </c>
      <c r="G62" s="184">
        <v>10</v>
      </c>
      <c r="H62" s="40">
        <v>10</v>
      </c>
      <c r="I62" s="43"/>
      <c r="J62" s="40" t="s">
        <v>127</v>
      </c>
      <c r="K62" s="220">
        <v>26</v>
      </c>
      <c r="L62" s="40">
        <v>100</v>
      </c>
      <c r="M62" s="41">
        <f t="shared" si="0"/>
        <v>0.26</v>
      </c>
      <c r="N62" s="40" t="s">
        <v>58</v>
      </c>
      <c r="O62" s="40" t="s">
        <v>76</v>
      </c>
      <c r="P62" s="40" t="s">
        <v>45</v>
      </c>
      <c r="Q62" s="142"/>
    </row>
    <row r="63" spans="1:17">
      <c r="A63" s="43">
        <v>62</v>
      </c>
      <c r="B63" s="40" t="s">
        <v>417</v>
      </c>
      <c r="C63" s="40" t="s">
        <v>380</v>
      </c>
      <c r="D63" s="40" t="s">
        <v>418</v>
      </c>
      <c r="E63" s="43" t="s">
        <v>470</v>
      </c>
      <c r="F63" s="40" t="s">
        <v>154</v>
      </c>
      <c r="G63" s="184">
        <v>10</v>
      </c>
      <c r="H63" s="40">
        <v>10</v>
      </c>
      <c r="I63" s="43"/>
      <c r="J63" s="40" t="s">
        <v>127</v>
      </c>
      <c r="K63" s="220">
        <v>25</v>
      </c>
      <c r="L63" s="40">
        <v>100</v>
      </c>
      <c r="M63" s="41">
        <f t="shared" si="0"/>
        <v>0.25</v>
      </c>
      <c r="N63" s="40" t="s">
        <v>58</v>
      </c>
      <c r="O63" s="40" t="s">
        <v>76</v>
      </c>
      <c r="P63" s="40" t="s">
        <v>45</v>
      </c>
      <c r="Q63" s="142"/>
    </row>
    <row r="64" spans="1:17">
      <c r="A64" s="43">
        <v>63</v>
      </c>
      <c r="B64" s="40" t="s">
        <v>414</v>
      </c>
      <c r="C64" s="40" t="s">
        <v>171</v>
      </c>
      <c r="D64" s="40" t="s">
        <v>233</v>
      </c>
      <c r="E64" s="43" t="s">
        <v>470</v>
      </c>
      <c r="F64" s="40" t="s">
        <v>154</v>
      </c>
      <c r="G64" s="184">
        <v>10</v>
      </c>
      <c r="H64" s="40">
        <v>10</v>
      </c>
      <c r="I64" s="43"/>
      <c r="J64" s="40" t="s">
        <v>127</v>
      </c>
      <c r="K64" s="220">
        <v>23</v>
      </c>
      <c r="L64" s="40">
        <v>100</v>
      </c>
      <c r="M64" s="41">
        <f t="shared" si="0"/>
        <v>0.23</v>
      </c>
      <c r="N64" s="40" t="s">
        <v>58</v>
      </c>
      <c r="O64" s="40" t="s">
        <v>76</v>
      </c>
      <c r="P64" s="40" t="s">
        <v>45</v>
      </c>
      <c r="Q64" s="142"/>
    </row>
    <row r="65" spans="1:17">
      <c r="A65" s="43">
        <v>64</v>
      </c>
      <c r="B65" s="40" t="s">
        <v>421</v>
      </c>
      <c r="C65" s="40" t="s">
        <v>526</v>
      </c>
      <c r="D65" s="40" t="s">
        <v>423</v>
      </c>
      <c r="E65" s="43" t="s">
        <v>470</v>
      </c>
      <c r="F65" s="40" t="s">
        <v>154</v>
      </c>
      <c r="G65" s="184">
        <v>10</v>
      </c>
      <c r="H65" s="40">
        <v>10</v>
      </c>
      <c r="I65" s="43"/>
      <c r="J65" s="40" t="s">
        <v>127</v>
      </c>
      <c r="K65" s="220">
        <v>23</v>
      </c>
      <c r="L65" s="40">
        <v>100</v>
      </c>
      <c r="M65" s="41">
        <f t="shared" si="0"/>
        <v>0.23</v>
      </c>
      <c r="N65" s="40" t="s">
        <v>58</v>
      </c>
      <c r="O65" s="40" t="s">
        <v>76</v>
      </c>
      <c r="P65" s="40" t="s">
        <v>45</v>
      </c>
      <c r="Q65" s="142"/>
    </row>
    <row r="66" spans="1:17">
      <c r="A66" s="43">
        <v>65</v>
      </c>
      <c r="B66" s="40" t="s">
        <v>527</v>
      </c>
      <c r="C66" s="40" t="s">
        <v>301</v>
      </c>
      <c r="D66" s="40" t="s">
        <v>328</v>
      </c>
      <c r="E66" s="43" t="s">
        <v>475</v>
      </c>
      <c r="F66" s="40" t="s">
        <v>154</v>
      </c>
      <c r="G66" s="184">
        <v>10</v>
      </c>
      <c r="H66" s="40">
        <v>10</v>
      </c>
      <c r="I66" s="43"/>
      <c r="J66" s="40" t="s">
        <v>127</v>
      </c>
      <c r="K66" s="220">
        <v>22</v>
      </c>
      <c r="L66" s="40">
        <v>100</v>
      </c>
      <c r="M66" s="41">
        <f t="shared" ref="M66:M73" si="1">K66/L66</f>
        <v>0.22</v>
      </c>
      <c r="N66" s="40" t="s">
        <v>58</v>
      </c>
      <c r="O66" s="40" t="s">
        <v>76</v>
      </c>
      <c r="P66" s="40" t="s">
        <v>45</v>
      </c>
      <c r="Q66" s="142"/>
    </row>
    <row r="67" spans="1:17">
      <c r="A67" s="43">
        <v>66</v>
      </c>
      <c r="B67" s="40" t="s">
        <v>419</v>
      </c>
      <c r="C67" s="40" t="s">
        <v>420</v>
      </c>
      <c r="D67" s="40" t="s">
        <v>175</v>
      </c>
      <c r="E67" s="43" t="s">
        <v>470</v>
      </c>
      <c r="F67" s="40" t="s">
        <v>154</v>
      </c>
      <c r="G67" s="184">
        <v>10</v>
      </c>
      <c r="H67" s="40">
        <v>10</v>
      </c>
      <c r="I67" s="43"/>
      <c r="J67" s="40" t="s">
        <v>127</v>
      </c>
      <c r="K67" s="220">
        <v>19</v>
      </c>
      <c r="L67" s="40">
        <v>100</v>
      </c>
      <c r="M67" s="41">
        <f t="shared" si="1"/>
        <v>0.19</v>
      </c>
      <c r="N67" s="40" t="s">
        <v>58</v>
      </c>
      <c r="O67" s="40" t="s">
        <v>76</v>
      </c>
      <c r="P67" s="40" t="s">
        <v>45</v>
      </c>
      <c r="Q67" s="142"/>
    </row>
    <row r="68" spans="1:17">
      <c r="A68" s="43">
        <v>67</v>
      </c>
      <c r="B68" s="40" t="s">
        <v>528</v>
      </c>
      <c r="C68" s="40" t="s">
        <v>429</v>
      </c>
      <c r="D68" s="40" t="s">
        <v>216</v>
      </c>
      <c r="E68" s="43" t="s">
        <v>475</v>
      </c>
      <c r="F68" s="40" t="s">
        <v>154</v>
      </c>
      <c r="G68" s="184">
        <v>11</v>
      </c>
      <c r="H68" s="40">
        <v>11</v>
      </c>
      <c r="I68" s="43"/>
      <c r="J68" s="40" t="s">
        <v>127</v>
      </c>
      <c r="K68" s="220">
        <v>77</v>
      </c>
      <c r="L68" s="40">
        <v>100</v>
      </c>
      <c r="M68" s="41">
        <f t="shared" si="1"/>
        <v>0.77</v>
      </c>
      <c r="N68" s="40" t="s">
        <v>49</v>
      </c>
      <c r="O68" s="40" t="s">
        <v>76</v>
      </c>
      <c r="P68" s="40" t="s">
        <v>45</v>
      </c>
      <c r="Q68" s="142"/>
    </row>
    <row r="69" spans="1:17">
      <c r="A69" s="43">
        <v>68</v>
      </c>
      <c r="B69" s="40" t="s">
        <v>351</v>
      </c>
      <c r="C69" s="40" t="s">
        <v>171</v>
      </c>
      <c r="D69" s="40" t="s">
        <v>235</v>
      </c>
      <c r="E69" s="43" t="s">
        <v>470</v>
      </c>
      <c r="F69" s="40" t="s">
        <v>154</v>
      </c>
      <c r="G69" s="184">
        <v>11</v>
      </c>
      <c r="H69" s="40">
        <v>11</v>
      </c>
      <c r="I69" s="43"/>
      <c r="J69" s="40" t="s">
        <v>127</v>
      </c>
      <c r="K69" s="220">
        <v>81</v>
      </c>
      <c r="L69" s="40">
        <v>100</v>
      </c>
      <c r="M69" s="41">
        <f t="shared" si="1"/>
        <v>0.81</v>
      </c>
      <c r="N69" s="40" t="s">
        <v>50</v>
      </c>
      <c r="O69" s="40" t="s">
        <v>76</v>
      </c>
      <c r="P69" s="40" t="s">
        <v>45</v>
      </c>
      <c r="Q69" s="142"/>
    </row>
    <row r="70" spans="1:17">
      <c r="A70" s="43">
        <v>69</v>
      </c>
      <c r="B70" s="40" t="s">
        <v>275</v>
      </c>
      <c r="C70" s="40" t="s">
        <v>215</v>
      </c>
      <c r="D70" s="40" t="s">
        <v>216</v>
      </c>
      <c r="E70" s="43" t="s">
        <v>475</v>
      </c>
      <c r="F70" s="40" t="s">
        <v>154</v>
      </c>
      <c r="G70" s="184">
        <v>11</v>
      </c>
      <c r="H70" s="40">
        <v>11</v>
      </c>
      <c r="I70" s="43"/>
      <c r="J70" s="40" t="s">
        <v>127</v>
      </c>
      <c r="K70" s="220">
        <v>47</v>
      </c>
      <c r="L70" s="40">
        <v>100</v>
      </c>
      <c r="M70" s="41">
        <f t="shared" si="1"/>
        <v>0.47</v>
      </c>
      <c r="N70" s="40" t="s">
        <v>58</v>
      </c>
      <c r="O70" s="40" t="s">
        <v>76</v>
      </c>
      <c r="P70" s="40" t="s">
        <v>45</v>
      </c>
      <c r="Q70" s="142"/>
    </row>
    <row r="71" spans="1:17">
      <c r="A71" s="43">
        <v>70</v>
      </c>
      <c r="B71" s="40" t="s">
        <v>456</v>
      </c>
      <c r="C71" s="40" t="s">
        <v>320</v>
      </c>
      <c r="D71" s="40" t="s">
        <v>389</v>
      </c>
      <c r="E71" s="43" t="s">
        <v>475</v>
      </c>
      <c r="F71" s="40" t="s">
        <v>154</v>
      </c>
      <c r="G71" s="184">
        <v>11</v>
      </c>
      <c r="H71" s="40">
        <v>11</v>
      </c>
      <c r="I71" s="43"/>
      <c r="J71" s="40" t="s">
        <v>127</v>
      </c>
      <c r="K71" s="220">
        <v>45</v>
      </c>
      <c r="L71" s="40">
        <v>100</v>
      </c>
      <c r="M71" s="41">
        <f t="shared" si="1"/>
        <v>0.45</v>
      </c>
      <c r="N71" s="40" t="s">
        <v>58</v>
      </c>
      <c r="O71" s="40" t="s">
        <v>76</v>
      </c>
      <c r="P71" s="40" t="s">
        <v>45</v>
      </c>
      <c r="Q71" s="142"/>
    </row>
    <row r="72" spans="1:17">
      <c r="A72" s="43">
        <v>71</v>
      </c>
      <c r="B72" s="40" t="s">
        <v>179</v>
      </c>
      <c r="C72" s="40" t="s">
        <v>274</v>
      </c>
      <c r="D72" s="40" t="s">
        <v>181</v>
      </c>
      <c r="E72" s="43" t="s">
        <v>475</v>
      </c>
      <c r="F72" s="40" t="s">
        <v>154</v>
      </c>
      <c r="G72" s="184">
        <v>11</v>
      </c>
      <c r="H72" s="40">
        <v>11</v>
      </c>
      <c r="I72" s="43"/>
      <c r="J72" s="40" t="s">
        <v>127</v>
      </c>
      <c r="K72" s="220">
        <v>37</v>
      </c>
      <c r="L72" s="40">
        <v>100</v>
      </c>
      <c r="M72" s="41">
        <f t="shared" si="1"/>
        <v>0.37</v>
      </c>
      <c r="N72" s="40" t="s">
        <v>58</v>
      </c>
      <c r="O72" s="40" t="s">
        <v>76</v>
      </c>
      <c r="P72" s="40" t="s">
        <v>45</v>
      </c>
      <c r="Q72" s="142"/>
    </row>
    <row r="73" spans="1:17">
      <c r="A73" s="43">
        <v>72</v>
      </c>
      <c r="B73" s="40" t="s">
        <v>172</v>
      </c>
      <c r="C73" s="40" t="s">
        <v>173</v>
      </c>
      <c r="D73" s="40" t="s">
        <v>174</v>
      </c>
      <c r="E73" s="43" t="s">
        <v>100</v>
      </c>
      <c r="F73" s="40" t="s">
        <v>154</v>
      </c>
      <c r="G73" s="184">
        <v>11</v>
      </c>
      <c r="H73" s="40">
        <v>11</v>
      </c>
      <c r="I73" s="43"/>
      <c r="J73" s="40" t="s">
        <v>127</v>
      </c>
      <c r="K73" s="220">
        <v>30</v>
      </c>
      <c r="L73" s="40">
        <v>100</v>
      </c>
      <c r="M73" s="41">
        <f t="shared" si="1"/>
        <v>0.3</v>
      </c>
      <c r="N73" s="40" t="s">
        <v>58</v>
      </c>
      <c r="O73" s="40" t="s">
        <v>76</v>
      </c>
      <c r="P73" s="40" t="s">
        <v>45</v>
      </c>
      <c r="Q73" s="142"/>
    </row>
    <row r="74" spans="1:17">
      <c r="A74" s="40">
        <v>73</v>
      </c>
      <c r="B74" s="22" t="s">
        <v>450</v>
      </c>
      <c r="C74" s="22" t="s">
        <v>458</v>
      </c>
      <c r="D74" s="22" t="s">
        <v>459</v>
      </c>
      <c r="E74" s="40" t="s">
        <v>100</v>
      </c>
      <c r="F74" s="40" t="s">
        <v>154</v>
      </c>
      <c r="G74" s="184">
        <v>11</v>
      </c>
      <c r="H74" s="40">
        <v>11</v>
      </c>
      <c r="I74" s="23"/>
      <c r="J74" s="40" t="s">
        <v>127</v>
      </c>
      <c r="K74" s="220">
        <v>29</v>
      </c>
      <c r="L74" s="40">
        <v>101</v>
      </c>
      <c r="M74" s="41">
        <f t="shared" ref="M74:M75" si="2">K74/L74</f>
        <v>0.28712871287128711</v>
      </c>
      <c r="N74" s="40" t="s">
        <v>58</v>
      </c>
      <c r="O74" s="40" t="s">
        <v>76</v>
      </c>
      <c r="P74" s="40" t="s">
        <v>45</v>
      </c>
      <c r="Q74" s="142"/>
    </row>
    <row r="75" spans="1:17">
      <c r="A75" s="40">
        <v>74</v>
      </c>
      <c r="B75" s="22" t="s">
        <v>397</v>
      </c>
      <c r="C75" s="22" t="s">
        <v>215</v>
      </c>
      <c r="D75" s="22" t="s">
        <v>357</v>
      </c>
      <c r="E75" s="40" t="s">
        <v>100</v>
      </c>
      <c r="F75" s="40" t="s">
        <v>154</v>
      </c>
      <c r="G75" s="184">
        <v>11</v>
      </c>
      <c r="H75" s="40">
        <v>11</v>
      </c>
      <c r="I75" s="23"/>
      <c r="J75" s="40" t="s">
        <v>127</v>
      </c>
      <c r="K75" s="220">
        <v>27</v>
      </c>
      <c r="L75" s="40">
        <v>102</v>
      </c>
      <c r="M75" s="41">
        <f t="shared" si="2"/>
        <v>0.26470588235294118</v>
      </c>
      <c r="N75" s="40" t="s">
        <v>58</v>
      </c>
      <c r="O75" s="40" t="s">
        <v>76</v>
      </c>
      <c r="P75" s="40" t="s">
        <v>45</v>
      </c>
      <c r="Q75" s="142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75">
      <formula1>Пол</formula1>
    </dataValidation>
    <dataValidation type="list" allowBlank="1" showInputMessage="1" showErrorMessage="1" sqref="N2:N75">
      <formula1>Статус</formula1>
    </dataValidation>
    <dataValidation type="list" allowBlank="1" showInputMessage="1" showErrorMessage="1" sqref="I2:I73">
      <formula1>Специализированные_классы</formula1>
    </dataValidation>
    <dataValidation type="list" allowBlank="1" showInputMessage="1" showErrorMessage="1" sqref="O2:O75">
      <formula1>Район</formula1>
    </dataValidation>
    <dataValidation type="list" allowBlank="1" showInputMessage="1" showErrorMessage="1" sqref="F2:F75">
      <formula1>ОУ</formula1>
    </dataValidation>
    <dataValidation type="list" allowBlank="1" showInputMessage="1" showErrorMessage="1" sqref="J2:J75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H42"/>
  <sheetViews>
    <sheetView workbookViewId="0">
      <selection activeCell="Q24" sqref="Q24"/>
    </sheetView>
  </sheetViews>
  <sheetFormatPr defaultRowHeight="12.75"/>
  <sheetData>
    <row r="42" spans="8:8">
      <c r="H42" t="s">
        <v>59</v>
      </c>
    </row>
  </sheetData>
  <sheetProtection password="DE6B" sheet="1"/>
  <pageMargins left="0.7" right="0.7" top="0.75" bottom="0.75" header="0.3" footer="0.3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/>
  <dimension ref="A1:Q46"/>
  <sheetViews>
    <sheetView workbookViewId="0">
      <selection activeCell="N16" sqref="N16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0.710937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22" t="s">
        <v>412</v>
      </c>
      <c r="C2" s="40" t="s">
        <v>413</v>
      </c>
      <c r="D2" s="40" t="s">
        <v>235</v>
      </c>
      <c r="E2" s="43" t="s">
        <v>100</v>
      </c>
      <c r="F2" s="40" t="s">
        <v>154</v>
      </c>
      <c r="G2" s="184">
        <v>10</v>
      </c>
      <c r="H2" s="40">
        <v>10</v>
      </c>
      <c r="I2" s="40"/>
      <c r="J2" s="40" t="s">
        <v>127</v>
      </c>
      <c r="K2" s="173">
        <v>17</v>
      </c>
      <c r="L2" s="40">
        <v>51</v>
      </c>
      <c r="M2" s="55">
        <f t="shared" ref="M2:M9" si="0">K2/L2</f>
        <v>0.33333333333333331</v>
      </c>
      <c r="N2" s="40" t="s">
        <v>58</v>
      </c>
      <c r="O2" s="40" t="s">
        <v>76</v>
      </c>
      <c r="P2" s="22" t="s">
        <v>18</v>
      </c>
      <c r="Q2" s="142"/>
    </row>
    <row r="3" spans="1:17">
      <c r="A3" s="43">
        <v>2</v>
      </c>
      <c r="B3" s="22" t="s">
        <v>330</v>
      </c>
      <c r="C3" s="40" t="s">
        <v>595</v>
      </c>
      <c r="D3" s="40" t="s">
        <v>328</v>
      </c>
      <c r="E3" s="43" t="s">
        <v>99</v>
      </c>
      <c r="F3" s="40" t="s">
        <v>154</v>
      </c>
      <c r="G3" s="184">
        <v>10</v>
      </c>
      <c r="H3" s="40">
        <v>10</v>
      </c>
      <c r="I3" s="40"/>
      <c r="J3" s="40" t="s">
        <v>127</v>
      </c>
      <c r="K3" s="173">
        <v>12</v>
      </c>
      <c r="L3" s="40">
        <v>51</v>
      </c>
      <c r="M3" s="55">
        <f t="shared" si="0"/>
        <v>0.23529411764705882</v>
      </c>
      <c r="N3" s="40" t="s">
        <v>58</v>
      </c>
      <c r="O3" s="40" t="s">
        <v>76</v>
      </c>
      <c r="P3" s="22" t="s">
        <v>18</v>
      </c>
      <c r="Q3" s="142"/>
    </row>
    <row r="4" spans="1:17">
      <c r="A4" s="215">
        <v>3</v>
      </c>
      <c r="B4" s="22" t="s">
        <v>523</v>
      </c>
      <c r="C4" s="40" t="s">
        <v>380</v>
      </c>
      <c r="D4" s="40" t="s">
        <v>220</v>
      </c>
      <c r="E4" s="43" t="s">
        <v>100</v>
      </c>
      <c r="F4" s="40" t="s">
        <v>154</v>
      </c>
      <c r="G4" s="184">
        <v>10</v>
      </c>
      <c r="H4" s="40">
        <v>10</v>
      </c>
      <c r="I4" s="40"/>
      <c r="J4" s="40" t="s">
        <v>127</v>
      </c>
      <c r="K4" s="173">
        <v>10</v>
      </c>
      <c r="L4" s="40">
        <v>51</v>
      </c>
      <c r="M4" s="55">
        <f t="shared" si="0"/>
        <v>0.19607843137254902</v>
      </c>
      <c r="N4" s="40" t="s">
        <v>58</v>
      </c>
      <c r="O4" s="40" t="s">
        <v>76</v>
      </c>
      <c r="P4" s="22" t="s">
        <v>18</v>
      </c>
      <c r="Q4" s="142"/>
    </row>
    <row r="5" spans="1:17">
      <c r="A5" s="215">
        <v>4</v>
      </c>
      <c r="B5" s="22" t="s">
        <v>521</v>
      </c>
      <c r="C5" s="40" t="s">
        <v>522</v>
      </c>
      <c r="D5" s="40" t="s">
        <v>410</v>
      </c>
      <c r="E5" s="43" t="s">
        <v>99</v>
      </c>
      <c r="F5" s="40" t="s">
        <v>154</v>
      </c>
      <c r="G5" s="184">
        <v>10</v>
      </c>
      <c r="H5" s="40">
        <v>10</v>
      </c>
      <c r="I5" s="40"/>
      <c r="J5" s="40" t="s">
        <v>127</v>
      </c>
      <c r="K5" s="173">
        <v>9</v>
      </c>
      <c r="L5" s="40">
        <v>51</v>
      </c>
      <c r="M5" s="55">
        <f t="shared" si="0"/>
        <v>0.17647058823529413</v>
      </c>
      <c r="N5" s="40" t="s">
        <v>58</v>
      </c>
      <c r="O5" s="40" t="s">
        <v>76</v>
      </c>
      <c r="P5" s="22" t="s">
        <v>18</v>
      </c>
      <c r="Q5" s="142"/>
    </row>
    <row r="6" spans="1:17">
      <c r="A6" s="215">
        <v>5</v>
      </c>
      <c r="B6" s="22" t="s">
        <v>596</v>
      </c>
      <c r="C6" s="40" t="s">
        <v>173</v>
      </c>
      <c r="D6" s="40" t="s">
        <v>210</v>
      </c>
      <c r="E6" s="43" t="s">
        <v>100</v>
      </c>
      <c r="F6" s="40" t="s">
        <v>154</v>
      </c>
      <c r="G6" s="184">
        <v>10</v>
      </c>
      <c r="H6" s="40">
        <v>10</v>
      </c>
      <c r="I6" s="40"/>
      <c r="J6" s="40" t="s">
        <v>127</v>
      </c>
      <c r="K6" s="173">
        <v>9</v>
      </c>
      <c r="L6" s="40">
        <v>51</v>
      </c>
      <c r="M6" s="55">
        <f t="shared" si="0"/>
        <v>0.17647058823529413</v>
      </c>
      <c r="N6" s="40" t="s">
        <v>58</v>
      </c>
      <c r="O6" s="40" t="s">
        <v>76</v>
      </c>
      <c r="P6" s="22" t="s">
        <v>18</v>
      </c>
      <c r="Q6" s="142"/>
    </row>
    <row r="7" spans="1:17">
      <c r="A7" s="215">
        <v>6</v>
      </c>
      <c r="B7" s="22" t="s">
        <v>597</v>
      </c>
      <c r="C7" s="40" t="s">
        <v>171</v>
      </c>
      <c r="D7" s="40" t="s">
        <v>223</v>
      </c>
      <c r="E7" s="43" t="s">
        <v>100</v>
      </c>
      <c r="F7" s="40" t="s">
        <v>154</v>
      </c>
      <c r="G7" s="184">
        <v>10</v>
      </c>
      <c r="H7" s="40">
        <v>10</v>
      </c>
      <c r="I7" s="40"/>
      <c r="J7" s="40" t="s">
        <v>127</v>
      </c>
      <c r="K7" s="173">
        <v>8</v>
      </c>
      <c r="L7" s="40">
        <v>51</v>
      </c>
      <c r="M7" s="55">
        <f t="shared" si="0"/>
        <v>0.15686274509803921</v>
      </c>
      <c r="N7" s="40" t="s">
        <v>58</v>
      </c>
      <c r="O7" s="40" t="s">
        <v>76</v>
      </c>
      <c r="P7" s="22" t="s">
        <v>18</v>
      </c>
      <c r="Q7" s="142"/>
    </row>
    <row r="8" spans="1:17">
      <c r="A8" s="215">
        <v>7</v>
      </c>
      <c r="B8" s="22" t="s">
        <v>424</v>
      </c>
      <c r="C8" s="40" t="s">
        <v>524</v>
      </c>
      <c r="D8" s="40" t="s">
        <v>426</v>
      </c>
      <c r="E8" s="43" t="s">
        <v>100</v>
      </c>
      <c r="F8" s="40" t="s">
        <v>154</v>
      </c>
      <c r="G8" s="184">
        <v>10</v>
      </c>
      <c r="H8" s="40">
        <v>10</v>
      </c>
      <c r="I8" s="40"/>
      <c r="J8" s="40" t="s">
        <v>127</v>
      </c>
      <c r="K8" s="173">
        <v>6</v>
      </c>
      <c r="L8" s="40">
        <v>51</v>
      </c>
      <c r="M8" s="55">
        <f t="shared" si="0"/>
        <v>0.11764705882352941</v>
      </c>
      <c r="N8" s="40" t="s">
        <v>58</v>
      </c>
      <c r="O8" s="40" t="s">
        <v>76</v>
      </c>
      <c r="P8" s="22" t="s">
        <v>18</v>
      </c>
      <c r="Q8" s="142"/>
    </row>
    <row r="9" spans="1:17">
      <c r="A9" s="215">
        <v>8</v>
      </c>
      <c r="B9" s="22" t="s">
        <v>349</v>
      </c>
      <c r="C9" s="40" t="s">
        <v>272</v>
      </c>
      <c r="D9" s="40" t="s">
        <v>216</v>
      </c>
      <c r="E9" s="43" t="s">
        <v>99</v>
      </c>
      <c r="F9" s="40" t="s">
        <v>154</v>
      </c>
      <c r="G9" s="184">
        <v>10</v>
      </c>
      <c r="H9" s="40">
        <v>10</v>
      </c>
      <c r="I9" s="40"/>
      <c r="J9" s="40" t="s">
        <v>127</v>
      </c>
      <c r="K9" s="173">
        <v>5</v>
      </c>
      <c r="L9" s="40">
        <v>51</v>
      </c>
      <c r="M9" s="55">
        <f t="shared" si="0"/>
        <v>9.8039215686274508E-2</v>
      </c>
      <c r="N9" s="40" t="s">
        <v>58</v>
      </c>
      <c r="O9" s="40" t="s">
        <v>76</v>
      </c>
      <c r="P9" s="22" t="s">
        <v>18</v>
      </c>
      <c r="Q9" s="142"/>
    </row>
    <row r="10" spans="1:17">
      <c r="A10" s="215">
        <v>9</v>
      </c>
      <c r="B10" s="40" t="s">
        <v>456</v>
      </c>
      <c r="C10" s="40" t="s">
        <v>320</v>
      </c>
      <c r="D10" s="40" t="s">
        <v>389</v>
      </c>
      <c r="E10" s="43" t="s">
        <v>99</v>
      </c>
      <c r="F10" s="40" t="s">
        <v>154</v>
      </c>
      <c r="G10" s="184">
        <v>11</v>
      </c>
      <c r="H10" s="40">
        <v>11</v>
      </c>
      <c r="I10" s="40"/>
      <c r="J10" s="40" t="s">
        <v>127</v>
      </c>
      <c r="K10" s="173">
        <v>26</v>
      </c>
      <c r="L10" s="40">
        <v>53</v>
      </c>
      <c r="M10" s="55">
        <f>K13/L13</f>
        <v>0.18867924528301888</v>
      </c>
      <c r="N10" s="40" t="s">
        <v>58</v>
      </c>
      <c r="O10" s="40" t="s">
        <v>76</v>
      </c>
      <c r="P10" s="22" t="s">
        <v>18</v>
      </c>
      <c r="Q10" s="142"/>
    </row>
    <row r="11" spans="1:17">
      <c r="A11" s="215">
        <v>10</v>
      </c>
      <c r="B11" s="40" t="s">
        <v>593</v>
      </c>
      <c r="C11" s="40" t="s">
        <v>543</v>
      </c>
      <c r="D11" s="40" t="s">
        <v>186</v>
      </c>
      <c r="E11" s="43" t="s">
        <v>99</v>
      </c>
      <c r="F11" s="40" t="s">
        <v>154</v>
      </c>
      <c r="G11" s="184">
        <v>11</v>
      </c>
      <c r="H11" s="40">
        <v>11</v>
      </c>
      <c r="I11" s="40"/>
      <c r="J11" s="40" t="s">
        <v>127</v>
      </c>
      <c r="K11" s="173">
        <v>21</v>
      </c>
      <c r="L11" s="40">
        <v>53</v>
      </c>
      <c r="M11" s="55">
        <f>K10/L10</f>
        <v>0.49056603773584906</v>
      </c>
      <c r="N11" s="40" t="s">
        <v>58</v>
      </c>
      <c r="O11" s="40" t="s">
        <v>76</v>
      </c>
      <c r="P11" s="22" t="s">
        <v>18</v>
      </c>
      <c r="Q11" s="142"/>
    </row>
    <row r="12" spans="1:17">
      <c r="A12" s="215">
        <v>11</v>
      </c>
      <c r="B12" s="22" t="s">
        <v>594</v>
      </c>
      <c r="C12" s="40" t="s">
        <v>173</v>
      </c>
      <c r="D12" s="40" t="s">
        <v>174</v>
      </c>
      <c r="E12" s="43" t="s">
        <v>100</v>
      </c>
      <c r="F12" s="40" t="s">
        <v>154</v>
      </c>
      <c r="G12" s="184">
        <v>11</v>
      </c>
      <c r="H12" s="40">
        <v>11</v>
      </c>
      <c r="I12" s="40"/>
      <c r="J12" s="40" t="s">
        <v>127</v>
      </c>
      <c r="K12" s="173">
        <v>20</v>
      </c>
      <c r="L12" s="40">
        <v>53</v>
      </c>
      <c r="M12" s="55">
        <f>K11/L11</f>
        <v>0.39622641509433965</v>
      </c>
      <c r="N12" s="40" t="s">
        <v>58</v>
      </c>
      <c r="O12" s="40" t="s">
        <v>76</v>
      </c>
      <c r="P12" s="22" t="s">
        <v>18</v>
      </c>
      <c r="Q12" s="142"/>
    </row>
    <row r="13" spans="1:17">
      <c r="A13" s="215">
        <v>12</v>
      </c>
      <c r="B13" s="22" t="s">
        <v>349</v>
      </c>
      <c r="C13" s="40" t="s">
        <v>350</v>
      </c>
      <c r="D13" s="40" t="s">
        <v>216</v>
      </c>
      <c r="E13" s="43" t="s">
        <v>99</v>
      </c>
      <c r="F13" s="40" t="s">
        <v>154</v>
      </c>
      <c r="G13" s="184">
        <v>11</v>
      </c>
      <c r="H13" s="40">
        <v>11</v>
      </c>
      <c r="I13" s="40"/>
      <c r="J13" s="40" t="s">
        <v>127</v>
      </c>
      <c r="K13" s="173">
        <v>10</v>
      </c>
      <c r="L13" s="40">
        <v>53</v>
      </c>
      <c r="M13" s="55">
        <f>K12/L12</f>
        <v>0.37735849056603776</v>
      </c>
      <c r="N13" s="40" t="s">
        <v>58</v>
      </c>
      <c r="O13" s="40" t="s">
        <v>76</v>
      </c>
      <c r="P13" s="22" t="s">
        <v>18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55" t="e">
        <f t="shared" ref="M14" si="1">K14/L14</f>
        <v>#DIV/0!</v>
      </c>
      <c r="N14" s="40"/>
      <c r="O14" s="40" t="s">
        <v>76</v>
      </c>
      <c r="P14" s="22" t="s">
        <v>18</v>
      </c>
      <c r="Q14" s="142"/>
    </row>
    <row r="15" spans="1:17">
      <c r="A15" s="26"/>
      <c r="B15" s="76"/>
      <c r="C15" s="76"/>
      <c r="D15" s="76"/>
      <c r="E15" s="76"/>
      <c r="F15" s="76"/>
      <c r="G15" s="126"/>
      <c r="H15" s="126"/>
      <c r="I15" s="78"/>
      <c r="J15" s="76"/>
      <c r="K15" s="52"/>
      <c r="L15" s="53"/>
      <c r="M15" s="129"/>
      <c r="N15" s="75"/>
      <c r="O15" s="172"/>
      <c r="P15" s="26"/>
    </row>
    <row r="16" spans="1:17">
      <c r="A16" s="26"/>
      <c r="F16" s="20"/>
      <c r="G16" s="20"/>
      <c r="H16" s="20"/>
      <c r="I16" s="20"/>
      <c r="J16" s="20"/>
      <c r="K16" s="20"/>
      <c r="L16" s="20"/>
      <c r="M16" s="129"/>
      <c r="N16" s="75"/>
      <c r="O16" s="172"/>
      <c r="P16" s="26"/>
    </row>
    <row r="17" spans="1:16">
      <c r="A17" s="26"/>
      <c r="B17" s="76"/>
      <c r="C17" s="76"/>
      <c r="D17" s="76"/>
      <c r="E17" s="76"/>
      <c r="F17" s="76"/>
      <c r="G17" s="126"/>
      <c r="H17" s="126"/>
      <c r="I17" s="78"/>
      <c r="J17" s="76"/>
      <c r="K17" s="52"/>
      <c r="L17" s="53"/>
      <c r="M17" s="129"/>
      <c r="N17" s="75"/>
      <c r="O17" s="172"/>
      <c r="P17" s="26"/>
    </row>
    <row r="18" spans="1:16">
      <c r="A18" s="26"/>
      <c r="B18" s="76"/>
      <c r="C18" s="76"/>
      <c r="D18" s="76"/>
      <c r="E18" s="76"/>
      <c r="F18" s="76"/>
      <c r="G18" s="126"/>
      <c r="H18" s="126"/>
      <c r="I18" s="78"/>
      <c r="J18" s="76"/>
      <c r="K18" s="52"/>
      <c r="L18" s="53"/>
      <c r="M18" s="129"/>
      <c r="N18" s="75"/>
      <c r="O18" s="172"/>
      <c r="P18" s="26"/>
    </row>
    <row r="19" spans="1:16">
      <c r="A19" s="26"/>
      <c r="B19" s="76"/>
      <c r="C19" s="76"/>
      <c r="D19" s="76"/>
      <c r="E19" s="76"/>
      <c r="F19" s="76"/>
      <c r="G19" s="126"/>
      <c r="H19" s="126"/>
      <c r="I19" s="78"/>
      <c r="J19" s="76"/>
      <c r="K19" s="52"/>
      <c r="L19" s="53"/>
      <c r="M19" s="129"/>
      <c r="N19" s="75"/>
      <c r="O19" s="172"/>
      <c r="P19" s="26"/>
    </row>
    <row r="20" spans="1:16">
      <c r="A20" s="26"/>
      <c r="B20" s="76"/>
      <c r="C20" s="76"/>
      <c r="D20" s="76"/>
      <c r="E20" s="76"/>
      <c r="F20" s="76"/>
      <c r="G20" s="126"/>
      <c r="H20" s="126"/>
      <c r="I20" s="78"/>
      <c r="J20" s="76"/>
      <c r="K20" s="52"/>
      <c r="L20" s="53"/>
      <c r="M20" s="129"/>
      <c r="N20" s="75"/>
      <c r="O20" s="172"/>
      <c r="P20" s="26"/>
    </row>
    <row r="21" spans="1:16">
      <c r="A21" s="26"/>
      <c r="B21" s="76"/>
      <c r="C21" s="76"/>
      <c r="D21" s="76"/>
      <c r="E21" s="76"/>
      <c r="F21" s="76"/>
      <c r="G21" s="126"/>
      <c r="H21" s="126"/>
      <c r="I21" s="78"/>
      <c r="J21" s="76"/>
      <c r="K21" s="52"/>
      <c r="L21" s="53"/>
      <c r="M21" s="129"/>
      <c r="N21" s="75"/>
      <c r="O21" s="172"/>
      <c r="P21" s="26"/>
    </row>
    <row r="22" spans="1:16">
      <c r="A22" s="26"/>
      <c r="B22" s="76"/>
      <c r="C22" s="76"/>
      <c r="D22" s="76"/>
      <c r="E22" s="76"/>
      <c r="F22" s="76"/>
      <c r="G22" s="126"/>
      <c r="H22" s="126"/>
      <c r="I22" s="78"/>
      <c r="J22" s="76"/>
      <c r="K22" s="52"/>
      <c r="L22" s="53"/>
      <c r="M22" s="129"/>
      <c r="N22" s="75"/>
      <c r="O22" s="172"/>
      <c r="P22" s="26"/>
    </row>
    <row r="23" spans="1:16">
      <c r="A23" s="26"/>
      <c r="B23" s="76"/>
      <c r="C23" s="76"/>
      <c r="D23" s="76"/>
      <c r="E23" s="76"/>
      <c r="F23" s="76"/>
      <c r="G23" s="126"/>
      <c r="H23" s="126"/>
      <c r="I23" s="78"/>
      <c r="J23" s="76"/>
      <c r="K23" s="52"/>
      <c r="L23" s="53"/>
      <c r="M23" s="129"/>
      <c r="N23" s="75"/>
      <c r="O23" s="172"/>
      <c r="P23" s="26"/>
    </row>
    <row r="24" spans="1:16">
      <c r="A24" s="26"/>
      <c r="B24" s="76"/>
      <c r="C24" s="76"/>
      <c r="D24" s="76"/>
      <c r="E24" s="76"/>
      <c r="F24" s="76"/>
      <c r="G24" s="126"/>
      <c r="H24" s="126"/>
      <c r="I24" s="78"/>
      <c r="J24" s="76"/>
      <c r="K24" s="52"/>
      <c r="L24" s="53"/>
      <c r="M24" s="129"/>
      <c r="N24" s="75"/>
      <c r="O24" s="172"/>
      <c r="P24" s="26"/>
    </row>
    <row r="25" spans="1:16">
      <c r="A25" s="26"/>
      <c r="B25" s="76"/>
      <c r="C25" s="76"/>
      <c r="D25" s="76"/>
      <c r="E25" s="76"/>
      <c r="F25" s="76"/>
      <c r="G25" s="126"/>
      <c r="H25" s="126"/>
      <c r="I25" s="78"/>
      <c r="J25" s="76"/>
      <c r="K25" s="52"/>
      <c r="L25" s="53"/>
      <c r="M25" s="129"/>
      <c r="N25" s="75"/>
      <c r="O25" s="172"/>
      <c r="P25" s="26"/>
    </row>
    <row r="26" spans="1:16">
      <c r="A26" s="26"/>
      <c r="B26" s="76"/>
      <c r="C26" s="76"/>
      <c r="D26" s="76"/>
      <c r="E26" s="76"/>
      <c r="F26" s="76"/>
      <c r="G26" s="126"/>
      <c r="H26" s="126"/>
      <c r="I26" s="78"/>
      <c r="J26" s="76"/>
      <c r="K26" s="52"/>
      <c r="L26" s="53"/>
      <c r="M26" s="129"/>
      <c r="N26" s="75"/>
      <c r="O26" s="172"/>
      <c r="P26" s="26"/>
    </row>
    <row r="27" spans="1:16">
      <c r="A27" s="26"/>
      <c r="B27" s="76"/>
      <c r="C27" s="76"/>
      <c r="D27" s="76"/>
      <c r="E27" s="76"/>
      <c r="F27" s="76"/>
      <c r="G27" s="126"/>
      <c r="H27" s="126"/>
      <c r="I27" s="78"/>
      <c r="J27" s="76"/>
      <c r="K27" s="52"/>
      <c r="L27" s="53"/>
      <c r="M27" s="129"/>
      <c r="N27" s="75"/>
      <c r="O27" s="172"/>
      <c r="P27" s="26"/>
    </row>
    <row r="28" spans="1:16">
      <c r="C28" s="76"/>
      <c r="D28" s="76"/>
      <c r="E28" s="76"/>
      <c r="F28" s="76"/>
      <c r="G28" s="126"/>
      <c r="H28" s="126"/>
      <c r="I28" s="78"/>
      <c r="J28" s="76"/>
      <c r="K28" s="52"/>
      <c r="L28" s="53"/>
      <c r="M28" s="129"/>
      <c r="N28" s="75"/>
      <c r="O28" s="172"/>
      <c r="P28" s="26"/>
    </row>
    <row r="29" spans="1:16">
      <c r="C29" s="76"/>
      <c r="D29" s="76"/>
      <c r="E29" s="76"/>
      <c r="F29" s="76"/>
      <c r="G29" s="126"/>
      <c r="H29" s="126"/>
      <c r="I29" s="78"/>
      <c r="J29" s="76"/>
      <c r="K29" s="52"/>
      <c r="L29" s="53"/>
      <c r="M29" s="129"/>
      <c r="N29" s="75"/>
      <c r="O29" s="172"/>
      <c r="P29" s="26"/>
    </row>
    <row r="30" spans="1:16">
      <c r="C30" s="76"/>
      <c r="D30" s="76"/>
      <c r="E30" s="76"/>
      <c r="F30" s="76"/>
      <c r="G30" s="126"/>
      <c r="H30" s="126"/>
      <c r="I30" s="78"/>
      <c r="J30" s="76"/>
      <c r="K30" s="52"/>
      <c r="L30" s="53"/>
      <c r="M30" s="129"/>
      <c r="N30" s="75"/>
      <c r="O30" s="172"/>
      <c r="P30" s="26"/>
    </row>
    <row r="31" spans="1:16">
      <c r="C31" s="76"/>
      <c r="D31" s="76"/>
      <c r="E31" s="76"/>
      <c r="F31" s="76"/>
      <c r="G31" s="126"/>
      <c r="H31" s="126"/>
      <c r="I31" s="78"/>
      <c r="J31" s="76"/>
      <c r="K31" s="52"/>
      <c r="L31" s="53"/>
      <c r="M31" s="129"/>
      <c r="N31" s="75"/>
      <c r="O31" s="172"/>
      <c r="P31" s="26"/>
    </row>
    <row r="32" spans="1:16">
      <c r="C32" s="76"/>
      <c r="D32" s="76"/>
      <c r="E32" s="76"/>
      <c r="F32" s="76"/>
      <c r="G32" s="126"/>
      <c r="H32" s="126"/>
      <c r="I32" s="78"/>
      <c r="J32" s="76"/>
      <c r="K32" s="52"/>
      <c r="L32" s="53"/>
      <c r="M32" s="129"/>
      <c r="N32" s="75"/>
      <c r="O32" s="172"/>
      <c r="P32" s="26"/>
    </row>
    <row r="33" spans="3:16">
      <c r="C33" s="76"/>
      <c r="D33" s="76"/>
      <c r="E33" s="76"/>
      <c r="F33" s="76"/>
      <c r="G33" s="126"/>
      <c r="H33" s="126"/>
      <c r="I33" s="78"/>
      <c r="J33" s="76"/>
      <c r="K33" s="52"/>
      <c r="L33" s="53"/>
      <c r="M33" s="129"/>
      <c r="N33" s="75"/>
      <c r="O33" s="172"/>
      <c r="P33" s="26"/>
    </row>
    <row r="34" spans="3:16">
      <c r="C34" s="76"/>
      <c r="D34" s="76"/>
      <c r="E34" s="76"/>
      <c r="F34" s="76"/>
      <c r="G34" s="126"/>
      <c r="H34" s="126"/>
      <c r="I34" s="78"/>
      <c r="J34" s="76"/>
      <c r="K34" s="52"/>
      <c r="L34" s="53"/>
      <c r="M34" s="129"/>
      <c r="N34" s="75"/>
      <c r="O34" s="172"/>
      <c r="P34" s="26"/>
    </row>
    <row r="35" spans="3:16">
      <c r="C35" s="76"/>
      <c r="D35" s="76"/>
      <c r="E35" s="76"/>
      <c r="F35" s="76"/>
      <c r="G35" s="126"/>
      <c r="H35" s="126"/>
      <c r="I35" s="78"/>
      <c r="J35" s="76"/>
      <c r="K35" s="52"/>
      <c r="L35" s="53"/>
      <c r="M35" s="129"/>
      <c r="N35" s="75"/>
      <c r="O35" s="172"/>
      <c r="P35" s="26"/>
    </row>
    <row r="36" spans="3:16">
      <c r="C36" s="76"/>
      <c r="D36" s="76"/>
      <c r="E36" s="76"/>
      <c r="F36" s="76"/>
      <c r="G36" s="126"/>
      <c r="H36" s="126"/>
      <c r="I36" s="78"/>
      <c r="J36" s="76"/>
      <c r="K36" s="52"/>
      <c r="L36" s="53"/>
      <c r="M36" s="129"/>
      <c r="N36" s="75"/>
      <c r="O36" s="172"/>
      <c r="P36" s="26"/>
    </row>
    <row r="37" spans="3:16">
      <c r="C37" s="76"/>
      <c r="D37" s="76"/>
      <c r="E37" s="76"/>
      <c r="F37" s="76"/>
      <c r="G37" s="126"/>
      <c r="H37" s="126"/>
      <c r="I37" s="78"/>
      <c r="J37" s="76"/>
      <c r="K37" s="52"/>
      <c r="L37" s="53"/>
      <c r="M37" s="129"/>
      <c r="N37" s="75"/>
      <c r="O37" s="172"/>
      <c r="P37" s="26"/>
    </row>
    <row r="38" spans="3:16">
      <c r="C38" s="76"/>
      <c r="D38" s="76"/>
      <c r="E38" s="76"/>
      <c r="F38" s="76"/>
      <c r="G38" s="126"/>
      <c r="H38" s="126"/>
      <c r="I38" s="78"/>
      <c r="J38" s="76"/>
      <c r="K38" s="52"/>
      <c r="L38" s="53"/>
      <c r="M38" s="129"/>
      <c r="N38" s="75"/>
      <c r="O38" s="172"/>
      <c r="P38" s="26"/>
    </row>
    <row r="39" spans="3:16">
      <c r="C39" s="76"/>
      <c r="D39" s="76"/>
      <c r="E39" s="76"/>
      <c r="F39" s="76"/>
      <c r="G39" s="126"/>
      <c r="H39" s="126"/>
      <c r="I39" s="78"/>
      <c r="J39" s="76"/>
      <c r="K39" s="52"/>
      <c r="L39" s="53"/>
      <c r="M39" s="129"/>
      <c r="N39" s="75"/>
      <c r="O39" s="172"/>
      <c r="P39" s="26"/>
    </row>
    <row r="40" spans="3:16">
      <c r="C40" s="76"/>
      <c r="D40" s="76"/>
      <c r="E40" s="76"/>
      <c r="F40" s="76"/>
      <c r="G40" s="126"/>
      <c r="H40" s="126"/>
      <c r="I40" s="78"/>
      <c r="J40" s="76"/>
      <c r="K40" s="52"/>
      <c r="L40" s="53"/>
      <c r="M40" s="129"/>
      <c r="N40" s="75"/>
      <c r="O40" s="172"/>
      <c r="P40" s="26"/>
    </row>
    <row r="41" spans="3:16">
      <c r="C41" s="76"/>
      <c r="D41" s="76"/>
      <c r="E41" s="76"/>
      <c r="F41" s="76"/>
      <c r="G41" s="126"/>
      <c r="H41" s="126"/>
      <c r="I41" s="78"/>
      <c r="J41" s="76"/>
      <c r="K41" s="52"/>
      <c r="L41" s="53"/>
      <c r="M41" s="129"/>
      <c r="N41" s="75"/>
      <c r="O41" s="172"/>
      <c r="P41" s="26"/>
    </row>
    <row r="42" spans="3:16">
      <c r="C42" s="76"/>
      <c r="D42" s="76"/>
      <c r="E42" s="76"/>
      <c r="F42" s="76"/>
      <c r="G42" s="126"/>
      <c r="H42" s="126"/>
      <c r="I42" s="78"/>
      <c r="J42" s="76"/>
      <c r="K42" s="52"/>
      <c r="L42" s="53"/>
      <c r="M42" s="129"/>
      <c r="N42" s="75"/>
      <c r="O42" s="172"/>
      <c r="P42" s="26"/>
    </row>
    <row r="43" spans="3:16">
      <c r="C43" s="76"/>
      <c r="D43" s="76"/>
      <c r="E43" s="76"/>
      <c r="F43" s="76"/>
      <c r="G43" s="126"/>
      <c r="H43" s="126"/>
      <c r="I43" s="78"/>
      <c r="J43" s="76"/>
      <c r="K43" s="52"/>
      <c r="L43" s="53"/>
      <c r="M43" s="129"/>
      <c r="N43" s="75"/>
      <c r="O43" s="172"/>
      <c r="P43" s="26"/>
    </row>
    <row r="44" spans="3:16">
      <c r="C44" s="76"/>
      <c r="D44" s="76"/>
      <c r="E44" s="76"/>
      <c r="F44" s="76"/>
      <c r="G44" s="126"/>
      <c r="H44" s="126"/>
      <c r="I44" s="78"/>
      <c r="J44" s="76"/>
      <c r="K44" s="52"/>
      <c r="L44" s="53"/>
      <c r="M44" s="129"/>
      <c r="N44" s="75"/>
      <c r="O44" s="172"/>
      <c r="P44" s="26"/>
    </row>
    <row r="45" spans="3:16">
      <c r="J45" s="76"/>
    </row>
    <row r="46" spans="3:16">
      <c r="J46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15 E17:E44">
      <formula1>Пол</formula1>
    </dataValidation>
    <dataValidation type="list" allowBlank="1" showInputMessage="1" showErrorMessage="1" sqref="N2:N44">
      <formula1>Статус</formula1>
    </dataValidation>
    <dataValidation type="list" allowBlank="1" showInputMessage="1" showErrorMessage="1" sqref="I2:I15 I17:I44">
      <formula1>Специализированные_классы</formula1>
    </dataValidation>
    <dataValidation type="list" allowBlank="1" showInputMessage="1" showErrorMessage="1" sqref="O2:O44">
      <formula1>Район</formula1>
    </dataValidation>
    <dataValidation type="list" allowBlank="1" showInputMessage="1" showErrorMessage="1" sqref="F2:F15 F17:F44">
      <formula1>ОУ</formula1>
    </dataValidation>
    <dataValidation type="list" allowBlank="1" showInputMessage="1" showErrorMessage="1" sqref="J17:J44 J2:J15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"/>
  <dimension ref="A1:Q115"/>
  <sheetViews>
    <sheetView workbookViewId="0">
      <selection activeCell="N104" sqref="N104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3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95" t="s">
        <v>0</v>
      </c>
      <c r="C1" s="95" t="s">
        <v>1</v>
      </c>
      <c r="D1" s="95" t="s">
        <v>2</v>
      </c>
      <c r="E1" s="16" t="s">
        <v>85</v>
      </c>
      <c r="F1" s="17" t="s">
        <v>98</v>
      </c>
      <c r="G1" s="95" t="s">
        <v>3</v>
      </c>
      <c r="H1" s="95" t="s">
        <v>106</v>
      </c>
      <c r="I1" s="16" t="s">
        <v>26</v>
      </c>
      <c r="J1" s="16" t="s">
        <v>125</v>
      </c>
      <c r="K1" s="95" t="s">
        <v>4</v>
      </c>
      <c r="L1" s="96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598</v>
      </c>
      <c r="C2" s="40" t="s">
        <v>380</v>
      </c>
      <c r="D2" s="40" t="s">
        <v>175</v>
      </c>
      <c r="E2" s="43" t="s">
        <v>99</v>
      </c>
      <c r="F2" s="40" t="s">
        <v>154</v>
      </c>
      <c r="G2" s="184">
        <v>4</v>
      </c>
      <c r="H2" s="40">
        <v>4</v>
      </c>
      <c r="I2" s="40"/>
      <c r="J2" s="40" t="s">
        <v>599</v>
      </c>
      <c r="K2" s="236">
        <v>29</v>
      </c>
      <c r="L2" s="239">
        <v>100</v>
      </c>
      <c r="M2" s="99">
        <f t="shared" ref="M2:M28" si="0">K2/L2</f>
        <v>0.28999999999999998</v>
      </c>
      <c r="N2" s="40" t="s">
        <v>58</v>
      </c>
      <c r="O2" s="40" t="s">
        <v>76</v>
      </c>
      <c r="P2" s="22" t="s">
        <v>9</v>
      </c>
      <c r="Q2" s="142"/>
    </row>
    <row r="3" spans="1:17">
      <c r="A3" s="43">
        <v>2</v>
      </c>
      <c r="B3" s="40" t="s">
        <v>600</v>
      </c>
      <c r="C3" s="40" t="s">
        <v>543</v>
      </c>
      <c r="D3" s="40" t="s">
        <v>213</v>
      </c>
      <c r="E3" s="43" t="s">
        <v>99</v>
      </c>
      <c r="F3" s="40" t="s">
        <v>154</v>
      </c>
      <c r="G3" s="184">
        <v>4</v>
      </c>
      <c r="H3" s="40">
        <v>4</v>
      </c>
      <c r="I3" s="40"/>
      <c r="J3" s="40" t="s">
        <v>599</v>
      </c>
      <c r="K3" s="236">
        <v>28</v>
      </c>
      <c r="L3" s="239">
        <v>100</v>
      </c>
      <c r="M3" s="99">
        <f t="shared" si="0"/>
        <v>0.28000000000000003</v>
      </c>
      <c r="N3" s="40" t="s">
        <v>58</v>
      </c>
      <c r="O3" s="40" t="s">
        <v>76</v>
      </c>
      <c r="P3" s="22" t="s">
        <v>9</v>
      </c>
      <c r="Q3" s="142"/>
    </row>
    <row r="4" spans="1:17">
      <c r="A4" s="43">
        <v>3</v>
      </c>
      <c r="B4" s="22" t="s">
        <v>601</v>
      </c>
      <c r="C4" s="40" t="s">
        <v>602</v>
      </c>
      <c r="D4" s="40" t="s">
        <v>313</v>
      </c>
      <c r="E4" s="43" t="s">
        <v>100</v>
      </c>
      <c r="F4" s="40" t="s">
        <v>154</v>
      </c>
      <c r="G4" s="184">
        <v>4</v>
      </c>
      <c r="H4" s="40">
        <v>4</v>
      </c>
      <c r="I4" s="40"/>
      <c r="J4" s="40" t="s">
        <v>599</v>
      </c>
      <c r="K4" s="236">
        <v>26</v>
      </c>
      <c r="L4" s="239">
        <v>100</v>
      </c>
      <c r="M4" s="99">
        <f t="shared" si="0"/>
        <v>0.26</v>
      </c>
      <c r="N4" s="40" t="s">
        <v>58</v>
      </c>
      <c r="O4" s="40" t="s">
        <v>76</v>
      </c>
      <c r="P4" s="22" t="s">
        <v>9</v>
      </c>
      <c r="Q4" s="142"/>
    </row>
    <row r="5" spans="1:17">
      <c r="A5" s="43">
        <v>4</v>
      </c>
      <c r="B5" s="22" t="s">
        <v>603</v>
      </c>
      <c r="C5" s="40" t="s">
        <v>289</v>
      </c>
      <c r="D5" s="40" t="s">
        <v>604</v>
      </c>
      <c r="E5" s="43" t="s">
        <v>100</v>
      </c>
      <c r="F5" s="40" t="s">
        <v>154</v>
      </c>
      <c r="G5" s="184">
        <v>4</v>
      </c>
      <c r="H5" s="40">
        <v>4</v>
      </c>
      <c r="I5" s="40"/>
      <c r="J5" s="40" t="s">
        <v>599</v>
      </c>
      <c r="K5" s="236">
        <v>21</v>
      </c>
      <c r="L5" s="239">
        <v>100</v>
      </c>
      <c r="M5" s="99">
        <f t="shared" si="0"/>
        <v>0.21</v>
      </c>
      <c r="N5" s="40" t="s">
        <v>58</v>
      </c>
      <c r="O5" s="40" t="s">
        <v>76</v>
      </c>
      <c r="P5" s="22" t="s">
        <v>9</v>
      </c>
      <c r="Q5" s="142"/>
    </row>
    <row r="6" spans="1:17">
      <c r="A6" s="43">
        <v>5</v>
      </c>
      <c r="B6" s="22" t="s">
        <v>605</v>
      </c>
      <c r="C6" s="40" t="s">
        <v>420</v>
      </c>
      <c r="D6" s="40" t="s">
        <v>568</v>
      </c>
      <c r="E6" s="43" t="s">
        <v>100</v>
      </c>
      <c r="F6" s="40" t="s">
        <v>154</v>
      </c>
      <c r="G6" s="184">
        <v>4</v>
      </c>
      <c r="H6" s="40">
        <v>4</v>
      </c>
      <c r="I6" s="40"/>
      <c r="J6" s="40" t="s">
        <v>599</v>
      </c>
      <c r="K6" s="236">
        <v>20</v>
      </c>
      <c r="L6" s="239">
        <v>100</v>
      </c>
      <c r="M6" s="99">
        <f t="shared" si="0"/>
        <v>0.2</v>
      </c>
      <c r="N6" s="40" t="s">
        <v>58</v>
      </c>
      <c r="O6" s="40" t="s">
        <v>76</v>
      </c>
      <c r="P6" s="22" t="s">
        <v>9</v>
      </c>
      <c r="Q6" s="142"/>
    </row>
    <row r="7" spans="1:17">
      <c r="A7" s="43">
        <v>6</v>
      </c>
      <c r="B7" s="22" t="s">
        <v>606</v>
      </c>
      <c r="C7" s="40" t="s">
        <v>607</v>
      </c>
      <c r="D7" s="40" t="s">
        <v>205</v>
      </c>
      <c r="E7" s="43" t="s">
        <v>100</v>
      </c>
      <c r="F7" s="40" t="s">
        <v>154</v>
      </c>
      <c r="G7" s="184">
        <v>4</v>
      </c>
      <c r="H7" s="40">
        <v>4</v>
      </c>
      <c r="I7" s="40"/>
      <c r="J7" s="40" t="s">
        <v>599</v>
      </c>
      <c r="K7" s="236">
        <v>20</v>
      </c>
      <c r="L7" s="239">
        <v>100</v>
      </c>
      <c r="M7" s="99">
        <f t="shared" si="0"/>
        <v>0.2</v>
      </c>
      <c r="N7" s="40" t="s">
        <v>58</v>
      </c>
      <c r="O7" s="40" t="s">
        <v>76</v>
      </c>
      <c r="P7" s="22" t="s">
        <v>9</v>
      </c>
      <c r="Q7" s="142"/>
    </row>
    <row r="8" spans="1:17">
      <c r="A8" s="43">
        <v>7</v>
      </c>
      <c r="B8" s="22" t="s">
        <v>608</v>
      </c>
      <c r="C8" s="40" t="s">
        <v>173</v>
      </c>
      <c r="D8" s="40" t="s">
        <v>220</v>
      </c>
      <c r="E8" s="43" t="s">
        <v>100</v>
      </c>
      <c r="F8" s="40" t="s">
        <v>154</v>
      </c>
      <c r="G8" s="184">
        <v>4</v>
      </c>
      <c r="H8" s="40">
        <v>4</v>
      </c>
      <c r="I8" s="40"/>
      <c r="J8" s="40" t="s">
        <v>599</v>
      </c>
      <c r="K8" s="236">
        <v>18</v>
      </c>
      <c r="L8" s="239">
        <v>100</v>
      </c>
      <c r="M8" s="99">
        <f t="shared" si="0"/>
        <v>0.18</v>
      </c>
      <c r="N8" s="40" t="s">
        <v>58</v>
      </c>
      <c r="O8" s="40" t="s">
        <v>76</v>
      </c>
      <c r="P8" s="22" t="s">
        <v>9</v>
      </c>
      <c r="Q8" s="142"/>
    </row>
    <row r="9" spans="1:17">
      <c r="A9" s="43">
        <v>8</v>
      </c>
      <c r="B9" s="22" t="s">
        <v>609</v>
      </c>
      <c r="C9" s="40" t="s">
        <v>610</v>
      </c>
      <c r="D9" s="40" t="s">
        <v>611</v>
      </c>
      <c r="E9" s="43" t="s">
        <v>99</v>
      </c>
      <c r="F9" s="40" t="s">
        <v>154</v>
      </c>
      <c r="G9" s="184">
        <v>4</v>
      </c>
      <c r="H9" s="40">
        <v>4</v>
      </c>
      <c r="I9" s="40"/>
      <c r="J9" s="40" t="s">
        <v>599</v>
      </c>
      <c r="K9" s="236">
        <v>18</v>
      </c>
      <c r="L9" s="239">
        <v>100</v>
      </c>
      <c r="M9" s="99">
        <f t="shared" si="0"/>
        <v>0.18</v>
      </c>
      <c r="N9" s="40" t="s">
        <v>58</v>
      </c>
      <c r="O9" s="40" t="s">
        <v>76</v>
      </c>
      <c r="P9" s="22" t="s">
        <v>9</v>
      </c>
      <c r="Q9" s="142"/>
    </row>
    <row r="10" spans="1:17">
      <c r="A10" s="43">
        <v>9</v>
      </c>
      <c r="B10" s="22" t="s">
        <v>612</v>
      </c>
      <c r="C10" s="40" t="s">
        <v>227</v>
      </c>
      <c r="D10" s="40" t="s">
        <v>220</v>
      </c>
      <c r="E10" s="43" t="s">
        <v>100</v>
      </c>
      <c r="F10" s="40" t="s">
        <v>154</v>
      </c>
      <c r="G10" s="184">
        <v>4</v>
      </c>
      <c r="H10" s="40">
        <v>4</v>
      </c>
      <c r="I10" s="40"/>
      <c r="J10" s="40" t="s">
        <v>599</v>
      </c>
      <c r="K10" s="236">
        <v>17</v>
      </c>
      <c r="L10" s="239">
        <v>100</v>
      </c>
      <c r="M10" s="99">
        <f t="shared" si="0"/>
        <v>0.17</v>
      </c>
      <c r="N10" s="40" t="s">
        <v>58</v>
      </c>
      <c r="O10" s="40" t="s">
        <v>76</v>
      </c>
      <c r="P10" s="22" t="s">
        <v>9</v>
      </c>
      <c r="Q10" s="142"/>
    </row>
    <row r="11" spans="1:17">
      <c r="A11" s="43">
        <v>10</v>
      </c>
      <c r="B11" s="22" t="s">
        <v>613</v>
      </c>
      <c r="C11" s="40" t="s">
        <v>614</v>
      </c>
      <c r="D11" s="40" t="s">
        <v>615</v>
      </c>
      <c r="E11" s="43" t="s">
        <v>100</v>
      </c>
      <c r="F11" s="40" t="s">
        <v>154</v>
      </c>
      <c r="G11" s="184">
        <v>4</v>
      </c>
      <c r="H11" s="40">
        <v>4</v>
      </c>
      <c r="I11" s="40"/>
      <c r="J11" s="40" t="s">
        <v>599</v>
      </c>
      <c r="K11" s="236">
        <v>17</v>
      </c>
      <c r="L11" s="239">
        <v>100</v>
      </c>
      <c r="M11" s="99">
        <f t="shared" si="0"/>
        <v>0.17</v>
      </c>
      <c r="N11" s="40" t="s">
        <v>58</v>
      </c>
      <c r="O11" s="40" t="s">
        <v>76</v>
      </c>
      <c r="P11" s="22" t="s">
        <v>9</v>
      </c>
      <c r="Q11" s="142"/>
    </row>
    <row r="12" spans="1:17">
      <c r="A12" s="43">
        <v>11</v>
      </c>
      <c r="B12" s="22" t="s">
        <v>616</v>
      </c>
      <c r="C12" s="40" t="s">
        <v>367</v>
      </c>
      <c r="D12" s="40" t="s">
        <v>617</v>
      </c>
      <c r="E12" s="43" t="s">
        <v>99</v>
      </c>
      <c r="F12" s="40" t="s">
        <v>154</v>
      </c>
      <c r="G12" s="184">
        <v>4</v>
      </c>
      <c r="H12" s="40">
        <v>4</v>
      </c>
      <c r="I12" s="40"/>
      <c r="J12" s="40" t="s">
        <v>599</v>
      </c>
      <c r="K12" s="236">
        <v>16</v>
      </c>
      <c r="L12" s="239">
        <v>100</v>
      </c>
      <c r="M12" s="99">
        <f t="shared" si="0"/>
        <v>0.16</v>
      </c>
      <c r="N12" s="40" t="s">
        <v>58</v>
      </c>
      <c r="O12" s="40" t="s">
        <v>76</v>
      </c>
      <c r="P12" s="22" t="s">
        <v>9</v>
      </c>
      <c r="Q12" s="142"/>
    </row>
    <row r="13" spans="1:17">
      <c r="A13" s="43">
        <v>12</v>
      </c>
      <c r="B13" s="22" t="s">
        <v>618</v>
      </c>
      <c r="C13" s="40" t="s">
        <v>619</v>
      </c>
      <c r="D13" s="40" t="s">
        <v>186</v>
      </c>
      <c r="E13" s="43" t="s">
        <v>99</v>
      </c>
      <c r="F13" s="40" t="s">
        <v>154</v>
      </c>
      <c r="G13" s="184">
        <v>4</v>
      </c>
      <c r="H13" s="40">
        <v>4</v>
      </c>
      <c r="I13" s="40"/>
      <c r="J13" s="40" t="s">
        <v>599</v>
      </c>
      <c r="K13" s="236">
        <v>14</v>
      </c>
      <c r="L13" s="239">
        <v>100</v>
      </c>
      <c r="M13" s="99">
        <f t="shared" si="0"/>
        <v>0.14000000000000001</v>
      </c>
      <c r="N13" s="40" t="s">
        <v>58</v>
      </c>
      <c r="O13" s="40" t="s">
        <v>76</v>
      </c>
      <c r="P13" s="22" t="s">
        <v>9</v>
      </c>
      <c r="Q13" s="142"/>
    </row>
    <row r="14" spans="1:17">
      <c r="A14" s="43">
        <v>13</v>
      </c>
      <c r="B14" s="22" t="s">
        <v>620</v>
      </c>
      <c r="C14" s="40" t="s">
        <v>610</v>
      </c>
      <c r="D14" s="40" t="s">
        <v>536</v>
      </c>
      <c r="E14" s="43" t="s">
        <v>99</v>
      </c>
      <c r="F14" s="40" t="s">
        <v>154</v>
      </c>
      <c r="G14" s="184">
        <v>4</v>
      </c>
      <c r="H14" s="40">
        <v>4</v>
      </c>
      <c r="I14" s="40"/>
      <c r="J14" s="40" t="s">
        <v>599</v>
      </c>
      <c r="K14" s="236">
        <v>14</v>
      </c>
      <c r="L14" s="239">
        <v>100</v>
      </c>
      <c r="M14" s="99">
        <f t="shared" si="0"/>
        <v>0.14000000000000001</v>
      </c>
      <c r="N14" s="40" t="s">
        <v>58</v>
      </c>
      <c r="O14" s="40" t="s">
        <v>76</v>
      </c>
      <c r="P14" s="22" t="s">
        <v>9</v>
      </c>
      <c r="Q14" s="142"/>
    </row>
    <row r="15" spans="1:17">
      <c r="A15" s="43">
        <v>14</v>
      </c>
      <c r="B15" s="22" t="s">
        <v>621</v>
      </c>
      <c r="C15" s="40" t="s">
        <v>501</v>
      </c>
      <c r="D15" s="40" t="s">
        <v>319</v>
      </c>
      <c r="E15" s="43" t="s">
        <v>99</v>
      </c>
      <c r="F15" s="40" t="s">
        <v>154</v>
      </c>
      <c r="G15" s="184">
        <v>4</v>
      </c>
      <c r="H15" s="40">
        <v>4</v>
      </c>
      <c r="I15" s="40"/>
      <c r="J15" s="40" t="s">
        <v>599</v>
      </c>
      <c r="K15" s="236">
        <v>13</v>
      </c>
      <c r="L15" s="239">
        <v>100</v>
      </c>
      <c r="M15" s="99">
        <f t="shared" si="0"/>
        <v>0.13</v>
      </c>
      <c r="N15" s="40" t="s">
        <v>58</v>
      </c>
      <c r="O15" s="40" t="s">
        <v>76</v>
      </c>
      <c r="P15" s="22" t="s">
        <v>9</v>
      </c>
      <c r="Q15" s="142"/>
    </row>
    <row r="16" spans="1:17">
      <c r="A16" s="43">
        <v>15</v>
      </c>
      <c r="B16" s="97" t="s">
        <v>622</v>
      </c>
      <c r="C16" s="97" t="s">
        <v>380</v>
      </c>
      <c r="D16" s="97" t="s">
        <v>235</v>
      </c>
      <c r="E16" s="182" t="s">
        <v>100</v>
      </c>
      <c r="F16" s="40" t="s">
        <v>154</v>
      </c>
      <c r="G16" s="184">
        <v>4</v>
      </c>
      <c r="H16" s="40">
        <v>4</v>
      </c>
      <c r="I16" s="5"/>
      <c r="J16" s="40" t="s">
        <v>599</v>
      </c>
      <c r="K16" s="97">
        <v>11</v>
      </c>
      <c r="L16" s="97">
        <v>100</v>
      </c>
      <c r="M16" s="99">
        <f t="shared" si="0"/>
        <v>0.11</v>
      </c>
      <c r="N16" s="40" t="s">
        <v>58</v>
      </c>
      <c r="O16" s="40" t="s">
        <v>76</v>
      </c>
      <c r="P16" s="22" t="s">
        <v>9</v>
      </c>
      <c r="Q16" s="142"/>
    </row>
    <row r="17" spans="1:17">
      <c r="A17" s="43">
        <v>16</v>
      </c>
      <c r="B17" s="97" t="s">
        <v>623</v>
      </c>
      <c r="C17" s="97" t="s">
        <v>624</v>
      </c>
      <c r="D17" s="97" t="s">
        <v>311</v>
      </c>
      <c r="E17" s="182" t="s">
        <v>100</v>
      </c>
      <c r="F17" s="40" t="s">
        <v>154</v>
      </c>
      <c r="G17" s="184">
        <v>4</v>
      </c>
      <c r="H17" s="40">
        <v>4</v>
      </c>
      <c r="I17" s="5"/>
      <c r="J17" s="40" t="s">
        <v>599</v>
      </c>
      <c r="K17" s="97">
        <v>11</v>
      </c>
      <c r="L17" s="97">
        <v>100</v>
      </c>
      <c r="M17" s="99">
        <f t="shared" si="0"/>
        <v>0.11</v>
      </c>
      <c r="N17" s="40" t="s">
        <v>58</v>
      </c>
      <c r="O17" s="40" t="s">
        <v>76</v>
      </c>
      <c r="P17" s="22" t="s">
        <v>9</v>
      </c>
      <c r="Q17" s="142"/>
    </row>
    <row r="18" spans="1:17">
      <c r="A18" s="43">
        <v>17</v>
      </c>
      <c r="B18" s="97" t="s">
        <v>625</v>
      </c>
      <c r="C18" s="97" t="s">
        <v>626</v>
      </c>
      <c r="D18" s="97" t="s">
        <v>627</v>
      </c>
      <c r="E18" s="182" t="s">
        <v>100</v>
      </c>
      <c r="F18" s="40" t="s">
        <v>154</v>
      </c>
      <c r="G18" s="184">
        <v>4</v>
      </c>
      <c r="H18" s="40">
        <v>4</v>
      </c>
      <c r="I18" s="5"/>
      <c r="J18" s="40" t="s">
        <v>599</v>
      </c>
      <c r="K18" s="97">
        <v>10</v>
      </c>
      <c r="L18" s="97">
        <v>100</v>
      </c>
      <c r="M18" s="99">
        <f t="shared" si="0"/>
        <v>0.1</v>
      </c>
      <c r="N18" s="40" t="s">
        <v>58</v>
      </c>
      <c r="O18" s="40" t="s">
        <v>76</v>
      </c>
      <c r="P18" s="22" t="s">
        <v>9</v>
      </c>
      <c r="Q18" s="142"/>
    </row>
    <row r="19" spans="1:17">
      <c r="A19" s="43">
        <v>18</v>
      </c>
      <c r="B19" s="118" t="s">
        <v>628</v>
      </c>
      <c r="C19" s="118" t="s">
        <v>212</v>
      </c>
      <c r="D19" s="118" t="s">
        <v>357</v>
      </c>
      <c r="E19" s="183" t="s">
        <v>99</v>
      </c>
      <c r="F19" s="40" t="s">
        <v>154</v>
      </c>
      <c r="G19" s="184">
        <v>4</v>
      </c>
      <c r="H19" s="40">
        <v>4</v>
      </c>
      <c r="I19" s="5"/>
      <c r="J19" s="103" t="s">
        <v>599</v>
      </c>
      <c r="K19" s="118">
        <v>9</v>
      </c>
      <c r="L19" s="118">
        <v>100</v>
      </c>
      <c r="M19" s="99">
        <f t="shared" si="0"/>
        <v>0.09</v>
      </c>
      <c r="N19" s="40" t="s">
        <v>58</v>
      </c>
      <c r="O19" s="40" t="s">
        <v>76</v>
      </c>
      <c r="P19" s="108" t="s">
        <v>9</v>
      </c>
      <c r="Q19" s="142"/>
    </row>
    <row r="20" spans="1:17">
      <c r="A20" s="43">
        <v>19</v>
      </c>
      <c r="B20" s="97" t="s">
        <v>629</v>
      </c>
      <c r="C20" s="97" t="s">
        <v>207</v>
      </c>
      <c r="D20" s="97" t="s">
        <v>220</v>
      </c>
      <c r="E20" s="178" t="s">
        <v>100</v>
      </c>
      <c r="F20" s="40" t="s">
        <v>154</v>
      </c>
      <c r="G20" s="184">
        <v>4</v>
      </c>
      <c r="H20" s="40">
        <v>4</v>
      </c>
      <c r="I20" s="47"/>
      <c r="J20" s="40" t="s">
        <v>599</v>
      </c>
      <c r="K20" s="237">
        <v>8</v>
      </c>
      <c r="L20" s="97">
        <v>100</v>
      </c>
      <c r="M20" s="99">
        <f t="shared" si="0"/>
        <v>0.08</v>
      </c>
      <c r="N20" s="40" t="s">
        <v>58</v>
      </c>
      <c r="O20" s="40" t="s">
        <v>76</v>
      </c>
      <c r="P20" s="22" t="s">
        <v>9</v>
      </c>
      <c r="Q20" s="142"/>
    </row>
    <row r="21" spans="1:17">
      <c r="A21" s="43">
        <v>20</v>
      </c>
      <c r="B21" s="97" t="s">
        <v>630</v>
      </c>
      <c r="C21" s="97" t="s">
        <v>501</v>
      </c>
      <c r="D21" s="97" t="s">
        <v>246</v>
      </c>
      <c r="E21" s="239" t="s">
        <v>100</v>
      </c>
      <c r="F21" s="40" t="s">
        <v>154</v>
      </c>
      <c r="G21" s="184">
        <v>4</v>
      </c>
      <c r="H21" s="40">
        <v>4</v>
      </c>
      <c r="I21" s="5"/>
      <c r="J21" s="40" t="s">
        <v>599</v>
      </c>
      <c r="K21" s="97">
        <v>6</v>
      </c>
      <c r="L21" s="97">
        <v>100</v>
      </c>
      <c r="M21" s="4">
        <f t="shared" si="0"/>
        <v>0.06</v>
      </c>
      <c r="N21" s="40" t="s">
        <v>58</v>
      </c>
      <c r="O21" s="40" t="s">
        <v>76</v>
      </c>
      <c r="P21" s="22" t="s">
        <v>9</v>
      </c>
      <c r="Q21" s="142"/>
    </row>
    <row r="22" spans="1:17">
      <c r="A22" s="43">
        <v>21</v>
      </c>
      <c r="B22" s="97" t="s">
        <v>631</v>
      </c>
      <c r="C22" s="97" t="s">
        <v>173</v>
      </c>
      <c r="D22" s="97" t="s">
        <v>313</v>
      </c>
      <c r="E22" s="239" t="s">
        <v>100</v>
      </c>
      <c r="F22" s="40" t="s">
        <v>154</v>
      </c>
      <c r="G22" s="184">
        <v>4</v>
      </c>
      <c r="H22" s="40">
        <v>4</v>
      </c>
      <c r="I22" s="5"/>
      <c r="J22" s="40" t="s">
        <v>599</v>
      </c>
      <c r="K22" s="97">
        <v>5</v>
      </c>
      <c r="L22" s="97">
        <v>100</v>
      </c>
      <c r="M22" s="4">
        <f t="shared" si="0"/>
        <v>0.05</v>
      </c>
      <c r="N22" s="40" t="s">
        <v>58</v>
      </c>
      <c r="O22" s="40" t="s">
        <v>76</v>
      </c>
      <c r="P22" s="22" t="s">
        <v>9</v>
      </c>
      <c r="Q22" s="142"/>
    </row>
    <row r="23" spans="1:17">
      <c r="A23" s="43">
        <v>22</v>
      </c>
      <c r="B23" s="97" t="s">
        <v>632</v>
      </c>
      <c r="C23" s="97" t="s">
        <v>513</v>
      </c>
      <c r="D23" s="97" t="s">
        <v>507</v>
      </c>
      <c r="E23" s="239" t="s">
        <v>99</v>
      </c>
      <c r="F23" s="40" t="s">
        <v>154</v>
      </c>
      <c r="G23" s="184">
        <v>4</v>
      </c>
      <c r="H23" s="40">
        <v>4</v>
      </c>
      <c r="I23" s="5"/>
      <c r="J23" s="40" t="s">
        <v>599</v>
      </c>
      <c r="K23" s="97">
        <v>5</v>
      </c>
      <c r="L23" s="97">
        <v>100</v>
      </c>
      <c r="M23" s="4">
        <f t="shared" si="0"/>
        <v>0.05</v>
      </c>
      <c r="N23" s="40" t="s">
        <v>58</v>
      </c>
      <c r="O23" s="40" t="s">
        <v>76</v>
      </c>
      <c r="P23" s="22" t="s">
        <v>9</v>
      </c>
      <c r="Q23" s="142"/>
    </row>
    <row r="24" spans="1:17">
      <c r="A24" s="43">
        <v>23</v>
      </c>
      <c r="B24" s="97" t="s">
        <v>633</v>
      </c>
      <c r="C24" s="97" t="s">
        <v>634</v>
      </c>
      <c r="D24" s="97" t="s">
        <v>295</v>
      </c>
      <c r="E24" s="239" t="s">
        <v>100</v>
      </c>
      <c r="F24" s="40" t="s">
        <v>154</v>
      </c>
      <c r="G24" s="184">
        <v>4</v>
      </c>
      <c r="H24" s="40">
        <v>4</v>
      </c>
      <c r="I24" s="5"/>
      <c r="J24" s="40" t="s">
        <v>599</v>
      </c>
      <c r="K24" s="97">
        <v>4</v>
      </c>
      <c r="L24" s="97">
        <v>100</v>
      </c>
      <c r="M24" s="4">
        <f t="shared" si="0"/>
        <v>0.04</v>
      </c>
      <c r="N24" s="40" t="s">
        <v>58</v>
      </c>
      <c r="O24" s="40" t="s">
        <v>76</v>
      </c>
      <c r="P24" s="22" t="s">
        <v>9</v>
      </c>
      <c r="Q24" s="142"/>
    </row>
    <row r="25" spans="1:17">
      <c r="A25" s="43">
        <v>24</v>
      </c>
      <c r="B25" s="97" t="s">
        <v>635</v>
      </c>
      <c r="C25" s="97" t="s">
        <v>218</v>
      </c>
      <c r="D25" s="97" t="s">
        <v>186</v>
      </c>
      <c r="E25" s="239" t="s">
        <v>99</v>
      </c>
      <c r="F25" s="40" t="s">
        <v>154</v>
      </c>
      <c r="G25" s="184">
        <v>4</v>
      </c>
      <c r="H25" s="40">
        <v>4</v>
      </c>
      <c r="I25" s="5"/>
      <c r="J25" s="40" t="s">
        <v>599</v>
      </c>
      <c r="K25" s="97">
        <v>3</v>
      </c>
      <c r="L25" s="97">
        <v>100</v>
      </c>
      <c r="M25" s="4">
        <f t="shared" si="0"/>
        <v>0.03</v>
      </c>
      <c r="N25" s="40" t="s">
        <v>58</v>
      </c>
      <c r="O25" s="40" t="s">
        <v>76</v>
      </c>
      <c r="P25" s="22" t="s">
        <v>9</v>
      </c>
      <c r="Q25" s="142"/>
    </row>
    <row r="26" spans="1:17">
      <c r="A26" s="43">
        <v>25</v>
      </c>
      <c r="B26" s="97" t="s">
        <v>636</v>
      </c>
      <c r="C26" s="97" t="s">
        <v>637</v>
      </c>
      <c r="D26" s="97" t="s">
        <v>638</v>
      </c>
      <c r="E26" s="239" t="s">
        <v>99</v>
      </c>
      <c r="F26" s="40" t="s">
        <v>154</v>
      </c>
      <c r="G26" s="184">
        <v>4</v>
      </c>
      <c r="H26" s="40">
        <v>4</v>
      </c>
      <c r="I26" s="5"/>
      <c r="J26" s="40" t="s">
        <v>599</v>
      </c>
      <c r="K26" s="97">
        <v>1</v>
      </c>
      <c r="L26" s="97">
        <v>100</v>
      </c>
      <c r="M26" s="4">
        <f t="shared" si="0"/>
        <v>0.01</v>
      </c>
      <c r="N26" s="40" t="s">
        <v>58</v>
      </c>
      <c r="O26" s="40" t="s">
        <v>76</v>
      </c>
      <c r="P26" s="22" t="s">
        <v>9</v>
      </c>
      <c r="Q26" s="142"/>
    </row>
    <row r="27" spans="1:17">
      <c r="A27" s="43">
        <v>26</v>
      </c>
      <c r="B27" s="97" t="s">
        <v>639</v>
      </c>
      <c r="C27" s="97" t="s">
        <v>227</v>
      </c>
      <c r="D27" s="97" t="s">
        <v>519</v>
      </c>
      <c r="E27" s="239" t="s">
        <v>99</v>
      </c>
      <c r="F27" s="40" t="s">
        <v>154</v>
      </c>
      <c r="G27" s="184">
        <v>4</v>
      </c>
      <c r="H27" s="40">
        <v>4</v>
      </c>
      <c r="I27" s="5"/>
      <c r="J27" s="40" t="s">
        <v>599</v>
      </c>
      <c r="K27" s="97">
        <v>1</v>
      </c>
      <c r="L27" s="97">
        <v>100</v>
      </c>
      <c r="M27" s="4">
        <f t="shared" si="0"/>
        <v>0.01</v>
      </c>
      <c r="N27" s="40" t="s">
        <v>58</v>
      </c>
      <c r="O27" s="40" t="s">
        <v>76</v>
      </c>
      <c r="P27" s="22" t="s">
        <v>9</v>
      </c>
      <c r="Q27" s="142"/>
    </row>
    <row r="28" spans="1:17">
      <c r="A28" s="43">
        <v>27</v>
      </c>
      <c r="B28" s="97" t="s">
        <v>640</v>
      </c>
      <c r="C28" s="97" t="s">
        <v>499</v>
      </c>
      <c r="D28" s="97" t="s">
        <v>398</v>
      </c>
      <c r="E28" s="239" t="s">
        <v>99</v>
      </c>
      <c r="F28" s="40" t="s">
        <v>154</v>
      </c>
      <c r="G28" s="184">
        <v>4</v>
      </c>
      <c r="H28" s="40">
        <v>4</v>
      </c>
      <c r="I28" s="5"/>
      <c r="J28" s="40" t="s">
        <v>599</v>
      </c>
      <c r="K28" s="97">
        <v>1</v>
      </c>
      <c r="L28" s="97">
        <v>100</v>
      </c>
      <c r="M28" s="4">
        <f t="shared" si="0"/>
        <v>0.01</v>
      </c>
      <c r="N28" s="40" t="s">
        <v>58</v>
      </c>
      <c r="O28" s="40" t="s">
        <v>76</v>
      </c>
      <c r="P28" s="22" t="s">
        <v>9</v>
      </c>
      <c r="Q28" s="142"/>
    </row>
    <row r="29" spans="1:17">
      <c r="A29" s="43">
        <v>28</v>
      </c>
      <c r="B29" s="40" t="s">
        <v>176</v>
      </c>
      <c r="C29" s="40" t="s">
        <v>177</v>
      </c>
      <c r="D29" s="40" t="s">
        <v>178</v>
      </c>
      <c r="E29" s="43" t="s">
        <v>100</v>
      </c>
      <c r="F29" s="40" t="s">
        <v>154</v>
      </c>
      <c r="G29" s="184">
        <v>5</v>
      </c>
      <c r="H29" s="40">
        <v>5</v>
      </c>
      <c r="I29" s="40"/>
      <c r="J29" s="40" t="s">
        <v>599</v>
      </c>
      <c r="K29" s="236">
        <v>47</v>
      </c>
      <c r="L29" s="239">
        <v>100</v>
      </c>
      <c r="M29" s="99">
        <f t="shared" ref="M29:M45" si="1">K29/L29</f>
        <v>0.47</v>
      </c>
      <c r="N29" s="3" t="s">
        <v>50</v>
      </c>
      <c r="O29" s="40" t="s">
        <v>76</v>
      </c>
      <c r="P29" s="22" t="s">
        <v>9</v>
      </c>
      <c r="Q29" s="142"/>
    </row>
    <row r="30" spans="1:17">
      <c r="A30" s="43">
        <v>29</v>
      </c>
      <c r="B30" s="40" t="s">
        <v>179</v>
      </c>
      <c r="C30" s="40" t="s">
        <v>180</v>
      </c>
      <c r="D30" s="40" t="s">
        <v>181</v>
      </c>
      <c r="E30" s="43" t="s">
        <v>99</v>
      </c>
      <c r="F30" s="40" t="s">
        <v>154</v>
      </c>
      <c r="G30" s="184">
        <v>5</v>
      </c>
      <c r="H30" s="40">
        <v>5</v>
      </c>
      <c r="I30" s="40"/>
      <c r="J30" s="40" t="s">
        <v>599</v>
      </c>
      <c r="K30" s="236">
        <v>46</v>
      </c>
      <c r="L30" s="239">
        <v>100</v>
      </c>
      <c r="M30" s="99">
        <f t="shared" si="1"/>
        <v>0.46</v>
      </c>
      <c r="N30" s="3" t="s">
        <v>58</v>
      </c>
      <c r="O30" s="40" t="s">
        <v>76</v>
      </c>
      <c r="P30" s="22" t="s">
        <v>9</v>
      </c>
      <c r="Q30" s="142"/>
    </row>
    <row r="31" spans="1:17">
      <c r="A31" s="43">
        <v>30</v>
      </c>
      <c r="B31" s="22" t="s">
        <v>182</v>
      </c>
      <c r="C31" s="40" t="s">
        <v>183</v>
      </c>
      <c r="D31" s="40" t="s">
        <v>175</v>
      </c>
      <c r="E31" s="43" t="s">
        <v>100</v>
      </c>
      <c r="F31" s="40" t="s">
        <v>154</v>
      </c>
      <c r="G31" s="184">
        <v>5</v>
      </c>
      <c r="H31" s="40">
        <v>5</v>
      </c>
      <c r="I31" s="40"/>
      <c r="J31" s="40" t="s">
        <v>599</v>
      </c>
      <c r="K31" s="236">
        <v>41</v>
      </c>
      <c r="L31" s="239">
        <v>100</v>
      </c>
      <c r="M31" s="99">
        <f t="shared" si="1"/>
        <v>0.41</v>
      </c>
      <c r="N31" s="3" t="s">
        <v>50</v>
      </c>
      <c r="O31" s="40" t="s">
        <v>76</v>
      </c>
      <c r="P31" s="22" t="s">
        <v>9</v>
      </c>
      <c r="Q31" s="142"/>
    </row>
    <row r="32" spans="1:17">
      <c r="A32" s="43">
        <v>31</v>
      </c>
      <c r="B32" s="22" t="s">
        <v>184</v>
      </c>
      <c r="C32" s="22" t="s">
        <v>185</v>
      </c>
      <c r="D32" s="22" t="s">
        <v>186</v>
      </c>
      <c r="E32" s="43" t="s">
        <v>99</v>
      </c>
      <c r="F32" s="40" t="s">
        <v>154</v>
      </c>
      <c r="G32" s="184">
        <v>5</v>
      </c>
      <c r="H32" s="40">
        <v>5</v>
      </c>
      <c r="I32" s="23"/>
      <c r="J32" s="40" t="s">
        <v>599</v>
      </c>
      <c r="K32" s="3">
        <v>40</v>
      </c>
      <c r="L32" s="239">
        <v>100</v>
      </c>
      <c r="M32" s="4">
        <f t="shared" si="1"/>
        <v>0.4</v>
      </c>
      <c r="N32" s="3" t="s">
        <v>58</v>
      </c>
      <c r="O32" s="40" t="s">
        <v>76</v>
      </c>
      <c r="P32" s="22" t="s">
        <v>9</v>
      </c>
      <c r="Q32" s="142"/>
    </row>
    <row r="33" spans="1:17">
      <c r="A33" s="43">
        <v>32</v>
      </c>
      <c r="B33" s="22" t="s">
        <v>187</v>
      </c>
      <c r="C33" s="40" t="s">
        <v>188</v>
      </c>
      <c r="D33" s="40" t="s">
        <v>189</v>
      </c>
      <c r="E33" s="43" t="s">
        <v>99</v>
      </c>
      <c r="F33" s="40" t="s">
        <v>154</v>
      </c>
      <c r="G33" s="184">
        <v>5</v>
      </c>
      <c r="H33" s="40">
        <v>5</v>
      </c>
      <c r="I33" s="40"/>
      <c r="J33" s="40" t="s">
        <v>599</v>
      </c>
      <c r="K33" s="236">
        <v>40</v>
      </c>
      <c r="L33" s="239">
        <v>100</v>
      </c>
      <c r="M33" s="99">
        <f t="shared" si="1"/>
        <v>0.4</v>
      </c>
      <c r="N33" s="3" t="s">
        <v>58</v>
      </c>
      <c r="O33" s="40" t="s">
        <v>76</v>
      </c>
      <c r="P33" s="22" t="s">
        <v>9</v>
      </c>
      <c r="Q33" s="142"/>
    </row>
    <row r="34" spans="1:17">
      <c r="A34" s="43">
        <v>33</v>
      </c>
      <c r="B34" s="22" t="s">
        <v>190</v>
      </c>
      <c r="C34" s="40" t="s">
        <v>171</v>
      </c>
      <c r="D34" s="40" t="s">
        <v>175</v>
      </c>
      <c r="E34" s="43" t="s">
        <v>100</v>
      </c>
      <c r="F34" s="40" t="s">
        <v>154</v>
      </c>
      <c r="G34" s="184">
        <v>5</v>
      </c>
      <c r="H34" s="40">
        <v>5</v>
      </c>
      <c r="I34" s="40"/>
      <c r="J34" s="40" t="s">
        <v>599</v>
      </c>
      <c r="K34" s="236">
        <v>36</v>
      </c>
      <c r="L34" s="239">
        <v>100</v>
      </c>
      <c r="M34" s="99">
        <f t="shared" si="1"/>
        <v>0.36</v>
      </c>
      <c r="N34" s="3" t="s">
        <v>58</v>
      </c>
      <c r="O34" s="40" t="s">
        <v>76</v>
      </c>
      <c r="P34" s="22" t="s">
        <v>9</v>
      </c>
      <c r="Q34" s="142"/>
    </row>
    <row r="35" spans="1:17">
      <c r="A35" s="43">
        <v>34</v>
      </c>
      <c r="B35" s="22" t="s">
        <v>191</v>
      </c>
      <c r="C35" s="40" t="s">
        <v>192</v>
      </c>
      <c r="D35" s="40" t="s">
        <v>193</v>
      </c>
      <c r="E35" s="43" t="s">
        <v>100</v>
      </c>
      <c r="F35" s="40" t="s">
        <v>154</v>
      </c>
      <c r="G35" s="184">
        <v>5</v>
      </c>
      <c r="H35" s="40">
        <v>5</v>
      </c>
      <c r="I35" s="40"/>
      <c r="J35" s="40" t="s">
        <v>599</v>
      </c>
      <c r="K35" s="236">
        <v>35</v>
      </c>
      <c r="L35" s="239">
        <v>100</v>
      </c>
      <c r="M35" s="99">
        <f t="shared" si="1"/>
        <v>0.35</v>
      </c>
      <c r="N35" s="3" t="s">
        <v>58</v>
      </c>
      <c r="O35" s="40" t="s">
        <v>76</v>
      </c>
      <c r="P35" s="22" t="s">
        <v>9</v>
      </c>
      <c r="Q35" s="142"/>
    </row>
    <row r="36" spans="1:17">
      <c r="A36" s="43">
        <v>35</v>
      </c>
      <c r="B36" s="22" t="s">
        <v>194</v>
      </c>
      <c r="C36" s="40" t="s">
        <v>171</v>
      </c>
      <c r="D36" s="40" t="s">
        <v>195</v>
      </c>
      <c r="E36" s="43" t="s">
        <v>100</v>
      </c>
      <c r="F36" s="40" t="s">
        <v>154</v>
      </c>
      <c r="G36" s="184">
        <v>5</v>
      </c>
      <c r="H36" s="40">
        <v>5</v>
      </c>
      <c r="I36" s="40"/>
      <c r="J36" s="40" t="s">
        <v>599</v>
      </c>
      <c r="K36" s="236">
        <v>35</v>
      </c>
      <c r="L36" s="239">
        <v>100</v>
      </c>
      <c r="M36" s="99">
        <f t="shared" si="1"/>
        <v>0.35</v>
      </c>
      <c r="N36" s="3" t="s">
        <v>58</v>
      </c>
      <c r="O36" s="40" t="s">
        <v>76</v>
      </c>
      <c r="P36" s="22" t="s">
        <v>9</v>
      </c>
      <c r="Q36" s="142"/>
    </row>
    <row r="37" spans="1:17">
      <c r="A37" s="43">
        <v>36</v>
      </c>
      <c r="B37" s="22" t="s">
        <v>196</v>
      </c>
      <c r="C37" s="40" t="s">
        <v>197</v>
      </c>
      <c r="D37" s="40" t="s">
        <v>198</v>
      </c>
      <c r="E37" s="43" t="s">
        <v>100</v>
      </c>
      <c r="F37" s="40" t="s">
        <v>154</v>
      </c>
      <c r="G37" s="184">
        <v>5</v>
      </c>
      <c r="H37" s="40">
        <v>5</v>
      </c>
      <c r="I37" s="40"/>
      <c r="J37" s="40" t="s">
        <v>599</v>
      </c>
      <c r="K37" s="236">
        <v>34</v>
      </c>
      <c r="L37" s="239">
        <v>100</v>
      </c>
      <c r="M37" s="99">
        <f t="shared" si="1"/>
        <v>0.34</v>
      </c>
      <c r="N37" s="3" t="s">
        <v>58</v>
      </c>
      <c r="O37" s="40" t="s">
        <v>76</v>
      </c>
      <c r="P37" s="22" t="s">
        <v>9</v>
      </c>
      <c r="Q37" s="142"/>
    </row>
    <row r="38" spans="1:17">
      <c r="A38" s="43">
        <v>37</v>
      </c>
      <c r="B38" s="22" t="s">
        <v>199</v>
      </c>
      <c r="C38" s="40" t="s">
        <v>200</v>
      </c>
      <c r="D38" s="40" t="s">
        <v>175</v>
      </c>
      <c r="E38" s="43" t="s">
        <v>100</v>
      </c>
      <c r="F38" s="40" t="s">
        <v>154</v>
      </c>
      <c r="G38" s="184">
        <v>5</v>
      </c>
      <c r="H38" s="40">
        <v>5</v>
      </c>
      <c r="I38" s="40"/>
      <c r="J38" s="40" t="s">
        <v>599</v>
      </c>
      <c r="K38" s="236">
        <v>25</v>
      </c>
      <c r="L38" s="239">
        <v>100</v>
      </c>
      <c r="M38" s="99">
        <f t="shared" si="1"/>
        <v>0.25</v>
      </c>
      <c r="N38" s="3" t="s">
        <v>58</v>
      </c>
      <c r="O38" s="40" t="s">
        <v>76</v>
      </c>
      <c r="P38" s="22" t="s">
        <v>9</v>
      </c>
      <c r="Q38" s="142"/>
    </row>
    <row r="39" spans="1:17">
      <c r="A39" s="43">
        <v>38</v>
      </c>
      <c r="B39" s="22" t="s">
        <v>201</v>
      </c>
      <c r="C39" s="40" t="s">
        <v>180</v>
      </c>
      <c r="D39" s="40" t="s">
        <v>202</v>
      </c>
      <c r="E39" s="43" t="s">
        <v>99</v>
      </c>
      <c r="F39" s="40" t="s">
        <v>154</v>
      </c>
      <c r="G39" s="184">
        <v>5</v>
      </c>
      <c r="H39" s="40">
        <v>5</v>
      </c>
      <c r="I39" s="40"/>
      <c r="J39" s="40" t="s">
        <v>599</v>
      </c>
      <c r="K39" s="236">
        <v>24</v>
      </c>
      <c r="L39" s="239">
        <v>100</v>
      </c>
      <c r="M39" s="99">
        <f t="shared" si="1"/>
        <v>0.24</v>
      </c>
      <c r="N39" s="3" t="s">
        <v>58</v>
      </c>
      <c r="O39" s="40" t="s">
        <v>76</v>
      </c>
      <c r="P39" s="22" t="s">
        <v>9</v>
      </c>
      <c r="Q39" s="142"/>
    </row>
    <row r="40" spans="1:17">
      <c r="A40" s="43">
        <v>39</v>
      </c>
      <c r="B40" s="22" t="s">
        <v>203</v>
      </c>
      <c r="C40" s="40" t="s">
        <v>204</v>
      </c>
      <c r="D40" s="40" t="s">
        <v>205</v>
      </c>
      <c r="E40" s="43" t="s">
        <v>100</v>
      </c>
      <c r="F40" s="40" t="s">
        <v>154</v>
      </c>
      <c r="G40" s="184">
        <v>5</v>
      </c>
      <c r="H40" s="40">
        <v>5</v>
      </c>
      <c r="I40" s="40"/>
      <c r="J40" s="40" t="s">
        <v>599</v>
      </c>
      <c r="K40" s="236">
        <v>21</v>
      </c>
      <c r="L40" s="239">
        <v>100</v>
      </c>
      <c r="M40" s="99">
        <f t="shared" si="1"/>
        <v>0.21</v>
      </c>
      <c r="N40" s="3" t="s">
        <v>58</v>
      </c>
      <c r="O40" s="40" t="s">
        <v>76</v>
      </c>
      <c r="P40" s="22" t="s">
        <v>9</v>
      </c>
      <c r="Q40" s="142"/>
    </row>
    <row r="41" spans="1:17">
      <c r="A41" s="43">
        <v>40</v>
      </c>
      <c r="B41" s="22" t="s">
        <v>206</v>
      </c>
      <c r="C41" s="40" t="s">
        <v>207</v>
      </c>
      <c r="D41" s="40" t="s">
        <v>208</v>
      </c>
      <c r="E41" s="43" t="s">
        <v>100</v>
      </c>
      <c r="F41" s="40" t="s">
        <v>154</v>
      </c>
      <c r="G41" s="184">
        <v>5</v>
      </c>
      <c r="H41" s="40">
        <v>5</v>
      </c>
      <c r="I41" s="40"/>
      <c r="J41" s="40" t="s">
        <v>599</v>
      </c>
      <c r="K41" s="236">
        <v>21</v>
      </c>
      <c r="L41" s="239">
        <v>100</v>
      </c>
      <c r="M41" s="99">
        <f t="shared" si="1"/>
        <v>0.21</v>
      </c>
      <c r="N41" s="3" t="s">
        <v>58</v>
      </c>
      <c r="O41" s="40" t="s">
        <v>76</v>
      </c>
      <c r="P41" s="22" t="s">
        <v>9</v>
      </c>
      <c r="Q41" s="142"/>
    </row>
    <row r="42" spans="1:17">
      <c r="A42" s="43">
        <v>41</v>
      </c>
      <c r="B42" s="22" t="s">
        <v>209</v>
      </c>
      <c r="C42" s="40" t="s">
        <v>171</v>
      </c>
      <c r="D42" s="40" t="s">
        <v>210</v>
      </c>
      <c r="E42" s="43" t="s">
        <v>100</v>
      </c>
      <c r="F42" s="40" t="s">
        <v>154</v>
      </c>
      <c r="G42" s="184">
        <v>5</v>
      </c>
      <c r="H42" s="40">
        <v>5</v>
      </c>
      <c r="I42" s="40"/>
      <c r="J42" s="40" t="s">
        <v>599</v>
      </c>
      <c r="K42" s="236">
        <v>19</v>
      </c>
      <c r="L42" s="239">
        <v>100</v>
      </c>
      <c r="M42" s="99">
        <f t="shared" si="1"/>
        <v>0.19</v>
      </c>
      <c r="N42" s="3" t="s">
        <v>58</v>
      </c>
      <c r="O42" s="40" t="s">
        <v>76</v>
      </c>
      <c r="P42" s="22" t="s">
        <v>9</v>
      </c>
      <c r="Q42" s="142"/>
    </row>
    <row r="43" spans="1:17">
      <c r="A43" s="43">
        <v>42</v>
      </c>
      <c r="B43" s="22" t="s">
        <v>211</v>
      </c>
      <c r="C43" s="40" t="s">
        <v>212</v>
      </c>
      <c r="D43" s="40" t="s">
        <v>213</v>
      </c>
      <c r="E43" s="43" t="s">
        <v>99</v>
      </c>
      <c r="F43" s="40" t="s">
        <v>154</v>
      </c>
      <c r="G43" s="184">
        <v>5</v>
      </c>
      <c r="H43" s="40">
        <v>5</v>
      </c>
      <c r="I43" s="40"/>
      <c r="J43" s="40" t="s">
        <v>599</v>
      </c>
      <c r="K43" s="236">
        <v>18</v>
      </c>
      <c r="L43" s="239">
        <v>100</v>
      </c>
      <c r="M43" s="99">
        <f t="shared" si="1"/>
        <v>0.18</v>
      </c>
      <c r="N43" s="3" t="s">
        <v>58</v>
      </c>
      <c r="O43" s="40" t="s">
        <v>76</v>
      </c>
      <c r="P43" s="22" t="s">
        <v>9</v>
      </c>
      <c r="Q43" s="142"/>
    </row>
    <row r="44" spans="1:17">
      <c r="A44" s="43">
        <v>43</v>
      </c>
      <c r="B44" s="97" t="s">
        <v>214</v>
      </c>
      <c r="C44" s="97" t="s">
        <v>215</v>
      </c>
      <c r="D44" s="97" t="s">
        <v>216</v>
      </c>
      <c r="E44" s="182" t="s">
        <v>99</v>
      </c>
      <c r="F44" s="40" t="s">
        <v>154</v>
      </c>
      <c r="G44" s="184">
        <v>5</v>
      </c>
      <c r="H44" s="40">
        <v>5</v>
      </c>
      <c r="I44" s="5"/>
      <c r="J44" s="40" t="s">
        <v>599</v>
      </c>
      <c r="K44" s="97">
        <v>14</v>
      </c>
      <c r="L44" s="239">
        <v>100</v>
      </c>
      <c r="M44" s="99">
        <f t="shared" si="1"/>
        <v>0.14000000000000001</v>
      </c>
      <c r="N44" s="3" t="s">
        <v>58</v>
      </c>
      <c r="O44" s="40" t="s">
        <v>76</v>
      </c>
      <c r="P44" s="22" t="s">
        <v>9</v>
      </c>
      <c r="Q44" s="142"/>
    </row>
    <row r="45" spans="1:17">
      <c r="A45" s="43">
        <v>44</v>
      </c>
      <c r="B45" s="97" t="s">
        <v>217</v>
      </c>
      <c r="C45" s="97" t="s">
        <v>218</v>
      </c>
      <c r="D45" s="97" t="s">
        <v>186</v>
      </c>
      <c r="E45" s="182" t="s">
        <v>100</v>
      </c>
      <c r="F45" s="40" t="s">
        <v>154</v>
      </c>
      <c r="G45" s="184">
        <v>5</v>
      </c>
      <c r="H45" s="40">
        <v>5</v>
      </c>
      <c r="I45" s="5"/>
      <c r="J45" s="40" t="s">
        <v>599</v>
      </c>
      <c r="K45" s="97">
        <v>11</v>
      </c>
      <c r="L45" s="239">
        <v>100</v>
      </c>
      <c r="M45" s="99">
        <f t="shared" si="1"/>
        <v>0.11</v>
      </c>
      <c r="N45" s="3" t="s">
        <v>58</v>
      </c>
      <c r="O45" s="40" t="s">
        <v>76</v>
      </c>
      <c r="P45" s="22" t="s">
        <v>9</v>
      </c>
      <c r="Q45" s="142"/>
    </row>
    <row r="46" spans="1:17">
      <c r="A46" s="43">
        <v>45</v>
      </c>
      <c r="B46" s="22" t="s">
        <v>256</v>
      </c>
      <c r="C46" s="40" t="s">
        <v>225</v>
      </c>
      <c r="D46" s="40" t="s">
        <v>220</v>
      </c>
      <c r="E46" s="43" t="s">
        <v>100</v>
      </c>
      <c r="F46" s="40" t="s">
        <v>154</v>
      </c>
      <c r="G46" s="184">
        <v>6</v>
      </c>
      <c r="H46" s="40">
        <v>6</v>
      </c>
      <c r="I46" s="40"/>
      <c r="J46" s="40" t="s">
        <v>599</v>
      </c>
      <c r="K46" s="236">
        <v>49</v>
      </c>
      <c r="L46" s="239">
        <v>100</v>
      </c>
      <c r="M46" s="99">
        <f t="shared" ref="M46:M70" si="2">K46/L46</f>
        <v>0.49</v>
      </c>
      <c r="N46" s="3" t="s">
        <v>50</v>
      </c>
      <c r="O46" s="40" t="s">
        <v>76</v>
      </c>
      <c r="P46" s="22" t="s">
        <v>9</v>
      </c>
      <c r="Q46" s="142"/>
    </row>
    <row r="47" spans="1:17">
      <c r="A47" s="43">
        <v>46</v>
      </c>
      <c r="B47" s="22" t="s">
        <v>257</v>
      </c>
      <c r="C47" s="40" t="s">
        <v>200</v>
      </c>
      <c r="D47" s="40" t="s">
        <v>243</v>
      </c>
      <c r="E47" s="43" t="s">
        <v>100</v>
      </c>
      <c r="F47" s="40" t="s">
        <v>154</v>
      </c>
      <c r="G47" s="184">
        <v>6</v>
      </c>
      <c r="H47" s="40">
        <v>6</v>
      </c>
      <c r="I47" s="40"/>
      <c r="J47" s="40" t="s">
        <v>599</v>
      </c>
      <c r="K47" s="236">
        <v>44</v>
      </c>
      <c r="L47" s="239">
        <v>100</v>
      </c>
      <c r="M47" s="99">
        <f t="shared" si="2"/>
        <v>0.44</v>
      </c>
      <c r="N47" s="3" t="s">
        <v>58</v>
      </c>
      <c r="O47" s="40" t="s">
        <v>76</v>
      </c>
      <c r="P47" s="22" t="s">
        <v>9</v>
      </c>
      <c r="Q47" s="142"/>
    </row>
    <row r="48" spans="1:17">
      <c r="A48" s="43">
        <v>47</v>
      </c>
      <c r="B48" s="22" t="s">
        <v>265</v>
      </c>
      <c r="C48" s="40" t="s">
        <v>225</v>
      </c>
      <c r="D48" s="40" t="s">
        <v>198</v>
      </c>
      <c r="E48" s="43" t="s">
        <v>100</v>
      </c>
      <c r="F48" s="40" t="s">
        <v>154</v>
      </c>
      <c r="G48" s="184">
        <v>6</v>
      </c>
      <c r="H48" s="40">
        <v>6</v>
      </c>
      <c r="I48" s="40"/>
      <c r="J48" s="40" t="s">
        <v>599</v>
      </c>
      <c r="K48" s="236">
        <v>40</v>
      </c>
      <c r="L48" s="239">
        <v>100</v>
      </c>
      <c r="M48" s="99">
        <f t="shared" si="2"/>
        <v>0.4</v>
      </c>
      <c r="N48" s="3" t="s">
        <v>58</v>
      </c>
      <c r="O48" s="40" t="s">
        <v>76</v>
      </c>
      <c r="P48" s="22" t="s">
        <v>9</v>
      </c>
      <c r="Q48" s="142"/>
    </row>
    <row r="49" spans="1:17">
      <c r="A49" s="43">
        <v>48</v>
      </c>
      <c r="B49" s="22" t="s">
        <v>264</v>
      </c>
      <c r="C49" s="40" t="s">
        <v>263</v>
      </c>
      <c r="D49" s="40" t="s">
        <v>233</v>
      </c>
      <c r="E49" s="43" t="s">
        <v>100</v>
      </c>
      <c r="F49" s="40" t="s">
        <v>154</v>
      </c>
      <c r="G49" s="184">
        <v>6</v>
      </c>
      <c r="H49" s="40">
        <v>6</v>
      </c>
      <c r="I49" s="40"/>
      <c r="J49" s="40" t="s">
        <v>599</v>
      </c>
      <c r="K49" s="236">
        <v>39</v>
      </c>
      <c r="L49" s="239">
        <v>100</v>
      </c>
      <c r="M49" s="99">
        <f t="shared" si="2"/>
        <v>0.39</v>
      </c>
      <c r="N49" s="3" t="s">
        <v>58</v>
      </c>
      <c r="O49" s="40" t="s">
        <v>76</v>
      </c>
      <c r="P49" s="22" t="s">
        <v>9</v>
      </c>
      <c r="Q49" s="142"/>
    </row>
    <row r="50" spans="1:17">
      <c r="A50" s="43">
        <v>49</v>
      </c>
      <c r="B50" s="22" t="s">
        <v>262</v>
      </c>
      <c r="C50" s="40" t="s">
        <v>218</v>
      </c>
      <c r="D50" s="40" t="s">
        <v>213</v>
      </c>
      <c r="E50" s="43" t="s">
        <v>99</v>
      </c>
      <c r="F50" s="40" t="s">
        <v>154</v>
      </c>
      <c r="G50" s="184">
        <v>6</v>
      </c>
      <c r="H50" s="40">
        <v>6</v>
      </c>
      <c r="I50" s="40"/>
      <c r="J50" s="40" t="s">
        <v>599</v>
      </c>
      <c r="K50" s="236">
        <v>39</v>
      </c>
      <c r="L50" s="239">
        <v>100</v>
      </c>
      <c r="M50" s="99">
        <f t="shared" si="2"/>
        <v>0.39</v>
      </c>
      <c r="N50" s="3" t="s">
        <v>58</v>
      </c>
      <c r="O50" s="40" t="s">
        <v>76</v>
      </c>
      <c r="P50" s="22" t="s">
        <v>9</v>
      </c>
      <c r="Q50" s="142"/>
    </row>
    <row r="51" spans="1:17">
      <c r="A51" s="43">
        <v>50</v>
      </c>
      <c r="B51" s="22" t="s">
        <v>261</v>
      </c>
      <c r="C51" s="40" t="s">
        <v>260</v>
      </c>
      <c r="D51" s="40" t="s">
        <v>233</v>
      </c>
      <c r="E51" s="43" t="s">
        <v>100</v>
      </c>
      <c r="F51" s="40" t="s">
        <v>154</v>
      </c>
      <c r="G51" s="184">
        <v>6</v>
      </c>
      <c r="H51" s="40">
        <v>6</v>
      </c>
      <c r="I51" s="40"/>
      <c r="J51" s="40" t="s">
        <v>599</v>
      </c>
      <c r="K51" s="236">
        <v>35</v>
      </c>
      <c r="L51" s="239">
        <v>100</v>
      </c>
      <c r="M51" s="99">
        <f t="shared" si="2"/>
        <v>0.35</v>
      </c>
      <c r="N51" s="3" t="s">
        <v>58</v>
      </c>
      <c r="O51" s="40" t="s">
        <v>76</v>
      </c>
      <c r="P51" s="22" t="s">
        <v>9</v>
      </c>
      <c r="Q51" s="142"/>
    </row>
    <row r="52" spans="1:17">
      <c r="A52" s="43">
        <v>51</v>
      </c>
      <c r="B52" s="22" t="s">
        <v>259</v>
      </c>
      <c r="C52" s="40" t="s">
        <v>258</v>
      </c>
      <c r="D52" s="40" t="s">
        <v>252</v>
      </c>
      <c r="E52" s="43" t="s">
        <v>100</v>
      </c>
      <c r="F52" s="40" t="s">
        <v>154</v>
      </c>
      <c r="G52" s="184">
        <v>6</v>
      </c>
      <c r="H52" s="40">
        <v>6</v>
      </c>
      <c r="I52" s="40"/>
      <c r="J52" s="40" t="s">
        <v>599</v>
      </c>
      <c r="K52" s="236">
        <v>35</v>
      </c>
      <c r="L52" s="239">
        <v>100</v>
      </c>
      <c r="M52" s="99">
        <f t="shared" si="2"/>
        <v>0.35</v>
      </c>
      <c r="N52" s="3" t="s">
        <v>58</v>
      </c>
      <c r="O52" s="40" t="s">
        <v>76</v>
      </c>
      <c r="P52" s="22" t="s">
        <v>9</v>
      </c>
      <c r="Q52" s="142"/>
    </row>
    <row r="53" spans="1:17">
      <c r="A53" s="43">
        <v>52</v>
      </c>
      <c r="B53" s="97" t="s">
        <v>288</v>
      </c>
      <c r="C53" s="97" t="s">
        <v>287</v>
      </c>
      <c r="D53" s="97" t="s">
        <v>286</v>
      </c>
      <c r="E53" s="239" t="s">
        <v>99</v>
      </c>
      <c r="F53" s="40" t="s">
        <v>154</v>
      </c>
      <c r="G53" s="257">
        <v>6</v>
      </c>
      <c r="H53" s="40">
        <v>6</v>
      </c>
      <c r="I53" s="5"/>
      <c r="J53" s="40" t="s">
        <v>599</v>
      </c>
      <c r="K53" s="97">
        <v>33</v>
      </c>
      <c r="L53" s="239">
        <v>100</v>
      </c>
      <c r="M53" s="4">
        <f t="shared" si="2"/>
        <v>0.33</v>
      </c>
      <c r="N53" s="3" t="s">
        <v>58</v>
      </c>
      <c r="O53" s="40" t="s">
        <v>76</v>
      </c>
      <c r="P53" s="22" t="s">
        <v>9</v>
      </c>
      <c r="Q53" s="142"/>
    </row>
    <row r="54" spans="1:17">
      <c r="A54" s="43">
        <v>53</v>
      </c>
      <c r="B54" s="97" t="s">
        <v>285</v>
      </c>
      <c r="C54" s="97" t="s">
        <v>284</v>
      </c>
      <c r="D54" s="97" t="s">
        <v>283</v>
      </c>
      <c r="E54" s="239" t="s">
        <v>99</v>
      </c>
      <c r="F54" s="40" t="s">
        <v>154</v>
      </c>
      <c r="G54" s="257">
        <v>6</v>
      </c>
      <c r="H54" s="40">
        <v>6</v>
      </c>
      <c r="I54" s="5"/>
      <c r="J54" s="40" t="s">
        <v>599</v>
      </c>
      <c r="K54" s="97">
        <v>26</v>
      </c>
      <c r="L54" s="239">
        <v>100</v>
      </c>
      <c r="M54" s="4">
        <f t="shared" si="2"/>
        <v>0.26</v>
      </c>
      <c r="N54" s="3" t="s">
        <v>58</v>
      </c>
      <c r="O54" s="40" t="s">
        <v>76</v>
      </c>
      <c r="P54" s="22" t="s">
        <v>9</v>
      </c>
      <c r="Q54" s="142"/>
    </row>
    <row r="55" spans="1:17">
      <c r="A55" s="43">
        <v>54</v>
      </c>
      <c r="B55" s="97" t="s">
        <v>282</v>
      </c>
      <c r="C55" s="97" t="s">
        <v>281</v>
      </c>
      <c r="D55" s="97" t="s">
        <v>280</v>
      </c>
      <c r="E55" s="239" t="s">
        <v>100</v>
      </c>
      <c r="F55" s="40" t="s">
        <v>154</v>
      </c>
      <c r="G55" s="257">
        <v>6</v>
      </c>
      <c r="H55" s="40">
        <v>6</v>
      </c>
      <c r="I55" s="5"/>
      <c r="J55" s="40" t="s">
        <v>599</v>
      </c>
      <c r="K55" s="97">
        <v>26</v>
      </c>
      <c r="L55" s="239">
        <v>100</v>
      </c>
      <c r="M55" s="4">
        <f t="shared" si="2"/>
        <v>0.26</v>
      </c>
      <c r="N55" s="3" t="s">
        <v>58</v>
      </c>
      <c r="O55" s="40" t="s">
        <v>76</v>
      </c>
      <c r="P55" s="22" t="s">
        <v>9</v>
      </c>
      <c r="Q55" s="142"/>
    </row>
    <row r="56" spans="1:17">
      <c r="A56" s="43">
        <v>55</v>
      </c>
      <c r="B56" s="97" t="s">
        <v>279</v>
      </c>
      <c r="C56" s="97" t="s">
        <v>278</v>
      </c>
      <c r="D56" s="97" t="s">
        <v>277</v>
      </c>
      <c r="E56" s="239" t="s">
        <v>100</v>
      </c>
      <c r="F56" s="40" t="s">
        <v>154</v>
      </c>
      <c r="G56" s="257">
        <v>6</v>
      </c>
      <c r="H56" s="40">
        <v>6</v>
      </c>
      <c r="I56" s="5"/>
      <c r="J56" s="40" t="s">
        <v>599</v>
      </c>
      <c r="K56" s="97">
        <v>23</v>
      </c>
      <c r="L56" s="239">
        <v>100</v>
      </c>
      <c r="M56" s="4">
        <f t="shared" si="2"/>
        <v>0.23</v>
      </c>
      <c r="N56" s="3" t="s">
        <v>58</v>
      </c>
      <c r="O56" s="40" t="s">
        <v>76</v>
      </c>
      <c r="P56" s="22" t="s">
        <v>9</v>
      </c>
      <c r="Q56" s="142"/>
    </row>
    <row r="57" spans="1:17">
      <c r="A57" s="43">
        <v>56</v>
      </c>
      <c r="B57" s="97" t="s">
        <v>276</v>
      </c>
      <c r="C57" s="97" t="s">
        <v>229</v>
      </c>
      <c r="D57" s="97" t="s">
        <v>210</v>
      </c>
      <c r="E57" s="239" t="s">
        <v>100</v>
      </c>
      <c r="F57" s="40" t="s">
        <v>154</v>
      </c>
      <c r="G57" s="257">
        <v>6</v>
      </c>
      <c r="H57" s="40">
        <v>6</v>
      </c>
      <c r="I57" s="5"/>
      <c r="J57" s="40" t="s">
        <v>599</v>
      </c>
      <c r="K57" s="97">
        <v>22</v>
      </c>
      <c r="L57" s="239">
        <v>100</v>
      </c>
      <c r="M57" s="4">
        <f t="shared" si="2"/>
        <v>0.22</v>
      </c>
      <c r="N57" s="3" t="s">
        <v>58</v>
      </c>
      <c r="O57" s="40" t="s">
        <v>76</v>
      </c>
      <c r="P57" s="22" t="s">
        <v>9</v>
      </c>
      <c r="Q57" s="142"/>
    </row>
    <row r="58" spans="1:17">
      <c r="A58" s="43">
        <v>57</v>
      </c>
      <c r="B58" s="97" t="s">
        <v>275</v>
      </c>
      <c r="C58" s="97" t="s">
        <v>274</v>
      </c>
      <c r="D58" s="97" t="s">
        <v>216</v>
      </c>
      <c r="E58" s="239" t="s">
        <v>99</v>
      </c>
      <c r="F58" s="40" t="s">
        <v>154</v>
      </c>
      <c r="G58" s="257">
        <v>6</v>
      </c>
      <c r="H58" s="40">
        <v>6</v>
      </c>
      <c r="I58" s="5"/>
      <c r="J58" s="40" t="s">
        <v>599</v>
      </c>
      <c r="K58" s="97">
        <v>22</v>
      </c>
      <c r="L58" s="239">
        <v>100</v>
      </c>
      <c r="M58" s="4">
        <f t="shared" si="2"/>
        <v>0.22</v>
      </c>
      <c r="N58" s="3" t="s">
        <v>58</v>
      </c>
      <c r="O58" s="40" t="s">
        <v>76</v>
      </c>
      <c r="P58" s="22" t="s">
        <v>9</v>
      </c>
      <c r="Q58" s="142"/>
    </row>
    <row r="59" spans="1:17">
      <c r="A59" s="43">
        <v>58</v>
      </c>
      <c r="B59" s="97" t="s">
        <v>273</v>
      </c>
      <c r="C59" s="97" t="s">
        <v>272</v>
      </c>
      <c r="D59" s="97" t="s">
        <v>246</v>
      </c>
      <c r="E59" s="239" t="s">
        <v>99</v>
      </c>
      <c r="F59" s="40" t="s">
        <v>154</v>
      </c>
      <c r="G59" s="257">
        <v>6</v>
      </c>
      <c r="H59" s="40">
        <v>6</v>
      </c>
      <c r="I59" s="5"/>
      <c r="J59" s="40" t="s">
        <v>599</v>
      </c>
      <c r="K59" s="97">
        <v>19</v>
      </c>
      <c r="L59" s="239">
        <v>100</v>
      </c>
      <c r="M59" s="4">
        <f t="shared" si="2"/>
        <v>0.19</v>
      </c>
      <c r="N59" s="3" t="s">
        <v>58</v>
      </c>
      <c r="O59" s="40" t="s">
        <v>76</v>
      </c>
      <c r="P59" s="22" t="s">
        <v>9</v>
      </c>
      <c r="Q59" s="142"/>
    </row>
    <row r="60" spans="1:17">
      <c r="A60" s="43">
        <v>59</v>
      </c>
      <c r="B60" s="97" t="s">
        <v>271</v>
      </c>
      <c r="C60" s="97" t="s">
        <v>270</v>
      </c>
      <c r="D60" s="97" t="s">
        <v>269</v>
      </c>
      <c r="E60" s="239" t="s">
        <v>99</v>
      </c>
      <c r="F60" s="40" t="s">
        <v>154</v>
      </c>
      <c r="G60" s="257">
        <v>6</v>
      </c>
      <c r="H60" s="40">
        <v>6</v>
      </c>
      <c r="I60" s="5"/>
      <c r="J60" s="40" t="s">
        <v>599</v>
      </c>
      <c r="K60" s="97">
        <v>18</v>
      </c>
      <c r="L60" s="239">
        <v>100</v>
      </c>
      <c r="M60" s="4">
        <f t="shared" si="2"/>
        <v>0.18</v>
      </c>
      <c r="N60" s="3" t="s">
        <v>58</v>
      </c>
      <c r="O60" s="40" t="s">
        <v>76</v>
      </c>
      <c r="P60" s="22" t="s">
        <v>9</v>
      </c>
      <c r="Q60" s="142"/>
    </row>
    <row r="61" spans="1:17">
      <c r="A61" s="43">
        <v>60</v>
      </c>
      <c r="B61" s="97" t="s">
        <v>268</v>
      </c>
      <c r="C61" s="97" t="s">
        <v>267</v>
      </c>
      <c r="D61" s="97" t="s">
        <v>266</v>
      </c>
      <c r="E61" s="239" t="s">
        <v>100</v>
      </c>
      <c r="F61" s="40" t="s">
        <v>154</v>
      </c>
      <c r="G61" s="257">
        <v>6</v>
      </c>
      <c r="H61" s="40">
        <v>6</v>
      </c>
      <c r="I61" s="5"/>
      <c r="J61" s="40" t="s">
        <v>599</v>
      </c>
      <c r="K61" s="97">
        <v>13</v>
      </c>
      <c r="L61" s="239">
        <v>100</v>
      </c>
      <c r="M61" s="4">
        <f t="shared" si="2"/>
        <v>0.13</v>
      </c>
      <c r="N61" s="3" t="s">
        <v>58</v>
      </c>
      <c r="O61" s="40" t="s">
        <v>76</v>
      </c>
      <c r="P61" s="22" t="s">
        <v>9</v>
      </c>
      <c r="Q61" s="142"/>
    </row>
    <row r="62" spans="1:17">
      <c r="A62" s="43">
        <v>61</v>
      </c>
      <c r="B62" s="40" t="s">
        <v>290</v>
      </c>
      <c r="C62" s="40" t="s">
        <v>289</v>
      </c>
      <c r="D62" s="40" t="s">
        <v>235</v>
      </c>
      <c r="E62" s="43" t="s">
        <v>100</v>
      </c>
      <c r="F62" s="40" t="s">
        <v>154</v>
      </c>
      <c r="G62" s="184">
        <v>7</v>
      </c>
      <c r="H62" s="40">
        <v>7</v>
      </c>
      <c r="I62" s="40"/>
      <c r="J62" s="40" t="s">
        <v>599</v>
      </c>
      <c r="K62" s="236">
        <v>61</v>
      </c>
      <c r="L62" s="239">
        <v>100</v>
      </c>
      <c r="M62" s="99">
        <f t="shared" si="2"/>
        <v>0.61</v>
      </c>
      <c r="N62" s="3" t="s">
        <v>49</v>
      </c>
      <c r="O62" s="40" t="s">
        <v>76</v>
      </c>
      <c r="P62" s="22" t="s">
        <v>9</v>
      </c>
      <c r="Q62" s="142"/>
    </row>
    <row r="63" spans="1:17">
      <c r="A63" s="43">
        <v>62</v>
      </c>
      <c r="B63" s="40" t="s">
        <v>293</v>
      </c>
      <c r="C63" s="40" t="s">
        <v>171</v>
      </c>
      <c r="D63" s="40" t="s">
        <v>291</v>
      </c>
      <c r="E63" s="43" t="s">
        <v>100</v>
      </c>
      <c r="F63" s="40" t="s">
        <v>154</v>
      </c>
      <c r="G63" s="184">
        <v>7</v>
      </c>
      <c r="H63" s="40">
        <v>7</v>
      </c>
      <c r="I63" s="40"/>
      <c r="J63" s="40" t="s">
        <v>599</v>
      </c>
      <c r="K63" s="236">
        <v>55</v>
      </c>
      <c r="L63" s="239">
        <v>100</v>
      </c>
      <c r="M63" s="99">
        <f t="shared" si="2"/>
        <v>0.55000000000000004</v>
      </c>
      <c r="N63" s="3" t="s">
        <v>50</v>
      </c>
      <c r="O63" s="40" t="s">
        <v>76</v>
      </c>
      <c r="P63" s="22" t="s">
        <v>9</v>
      </c>
      <c r="Q63" s="142"/>
    </row>
    <row r="64" spans="1:17">
      <c r="A64" s="43">
        <v>63</v>
      </c>
      <c r="B64" s="22" t="s">
        <v>292</v>
      </c>
      <c r="C64" s="40" t="s">
        <v>204</v>
      </c>
      <c r="D64" s="40" t="s">
        <v>291</v>
      </c>
      <c r="E64" s="43" t="s">
        <v>100</v>
      </c>
      <c r="F64" s="40" t="s">
        <v>154</v>
      </c>
      <c r="G64" s="184">
        <v>7</v>
      </c>
      <c r="H64" s="40">
        <v>7</v>
      </c>
      <c r="I64" s="40"/>
      <c r="J64" s="40" t="s">
        <v>599</v>
      </c>
      <c r="K64" s="236">
        <v>52</v>
      </c>
      <c r="L64" s="239">
        <v>100</v>
      </c>
      <c r="M64" s="99">
        <f t="shared" si="2"/>
        <v>0.52</v>
      </c>
      <c r="N64" s="3" t="s">
        <v>58</v>
      </c>
      <c r="O64" s="40" t="s">
        <v>76</v>
      </c>
      <c r="P64" s="22" t="s">
        <v>9</v>
      </c>
      <c r="Q64" s="142"/>
    </row>
    <row r="65" spans="1:17">
      <c r="A65" s="43">
        <v>64</v>
      </c>
      <c r="B65" s="22" t="s">
        <v>257</v>
      </c>
      <c r="C65" s="40" t="s">
        <v>294</v>
      </c>
      <c r="D65" s="40" t="s">
        <v>210</v>
      </c>
      <c r="E65" s="43" t="s">
        <v>100</v>
      </c>
      <c r="F65" s="40" t="s">
        <v>154</v>
      </c>
      <c r="G65" s="184">
        <v>7</v>
      </c>
      <c r="H65" s="40">
        <v>7</v>
      </c>
      <c r="I65" s="40"/>
      <c r="J65" s="40" t="s">
        <v>599</v>
      </c>
      <c r="K65" s="236">
        <v>47</v>
      </c>
      <c r="L65" s="239">
        <v>100</v>
      </c>
      <c r="M65" s="99">
        <f t="shared" si="2"/>
        <v>0.47</v>
      </c>
      <c r="N65" s="3" t="s">
        <v>58</v>
      </c>
      <c r="O65" s="40" t="s">
        <v>76</v>
      </c>
      <c r="P65" s="22" t="s">
        <v>9</v>
      </c>
      <c r="Q65" s="142"/>
    </row>
    <row r="66" spans="1:17">
      <c r="A66" s="43">
        <v>65</v>
      </c>
      <c r="B66" s="22" t="s">
        <v>298</v>
      </c>
      <c r="C66" s="40" t="s">
        <v>297</v>
      </c>
      <c r="D66" s="40" t="s">
        <v>233</v>
      </c>
      <c r="E66" s="43" t="s">
        <v>100</v>
      </c>
      <c r="F66" s="40" t="s">
        <v>154</v>
      </c>
      <c r="G66" s="184">
        <v>7</v>
      </c>
      <c r="H66" s="40">
        <v>7</v>
      </c>
      <c r="I66" s="40"/>
      <c r="J66" s="40" t="s">
        <v>599</v>
      </c>
      <c r="K66" s="236">
        <v>44</v>
      </c>
      <c r="L66" s="239">
        <v>100</v>
      </c>
      <c r="M66" s="99">
        <f t="shared" si="2"/>
        <v>0.44</v>
      </c>
      <c r="N66" s="3" t="s">
        <v>58</v>
      </c>
      <c r="O66" s="40" t="s">
        <v>76</v>
      </c>
      <c r="P66" s="22" t="s">
        <v>9</v>
      </c>
      <c r="Q66" s="142"/>
    </row>
    <row r="67" spans="1:17">
      <c r="A67" s="43">
        <v>66</v>
      </c>
      <c r="B67" s="22" t="s">
        <v>271</v>
      </c>
      <c r="C67" s="40" t="s">
        <v>296</v>
      </c>
      <c r="D67" s="40" t="s">
        <v>295</v>
      </c>
      <c r="E67" s="43" t="s">
        <v>100</v>
      </c>
      <c r="F67" s="40" t="s">
        <v>154</v>
      </c>
      <c r="G67" s="184">
        <v>7</v>
      </c>
      <c r="H67" s="40">
        <v>7</v>
      </c>
      <c r="I67" s="40"/>
      <c r="J67" s="40" t="s">
        <v>599</v>
      </c>
      <c r="K67" s="236">
        <v>44</v>
      </c>
      <c r="L67" s="239">
        <v>100</v>
      </c>
      <c r="M67" s="99">
        <f t="shared" si="2"/>
        <v>0.44</v>
      </c>
      <c r="N67" s="3" t="s">
        <v>58</v>
      </c>
      <c r="O67" s="40" t="s">
        <v>76</v>
      </c>
      <c r="P67" s="22" t="s">
        <v>9</v>
      </c>
      <c r="Q67" s="142"/>
    </row>
    <row r="68" spans="1:17">
      <c r="A68" s="43">
        <v>67</v>
      </c>
      <c r="B68" s="22" t="s">
        <v>300</v>
      </c>
      <c r="C68" s="40" t="s">
        <v>171</v>
      </c>
      <c r="D68" s="40" t="s">
        <v>175</v>
      </c>
      <c r="E68" s="43" t="s">
        <v>100</v>
      </c>
      <c r="F68" s="40" t="s">
        <v>154</v>
      </c>
      <c r="G68" s="184">
        <v>7</v>
      </c>
      <c r="H68" s="40">
        <v>7</v>
      </c>
      <c r="I68" s="40"/>
      <c r="J68" s="40" t="s">
        <v>599</v>
      </c>
      <c r="K68" s="236">
        <v>35</v>
      </c>
      <c r="L68" s="239">
        <v>100</v>
      </c>
      <c r="M68" s="99">
        <f t="shared" si="2"/>
        <v>0.35</v>
      </c>
      <c r="N68" s="3" t="s">
        <v>58</v>
      </c>
      <c r="O68" s="40" t="s">
        <v>76</v>
      </c>
      <c r="P68" s="22" t="s">
        <v>9</v>
      </c>
      <c r="Q68" s="142"/>
    </row>
    <row r="69" spans="1:17">
      <c r="A69" s="43">
        <v>68</v>
      </c>
      <c r="B69" s="97" t="s">
        <v>299</v>
      </c>
      <c r="C69" s="97" t="s">
        <v>227</v>
      </c>
      <c r="D69" s="97" t="s">
        <v>198</v>
      </c>
      <c r="E69" s="182" t="s">
        <v>100</v>
      </c>
      <c r="F69" s="40" t="s">
        <v>154</v>
      </c>
      <c r="G69" s="256">
        <v>7</v>
      </c>
      <c r="H69" s="40">
        <v>7</v>
      </c>
      <c r="I69" s="5"/>
      <c r="J69" s="40" t="s">
        <v>599</v>
      </c>
      <c r="K69" s="97">
        <v>35</v>
      </c>
      <c r="L69" s="239">
        <v>100</v>
      </c>
      <c r="M69" s="99">
        <f t="shared" si="2"/>
        <v>0.35</v>
      </c>
      <c r="N69" s="3" t="s">
        <v>58</v>
      </c>
      <c r="O69" s="40" t="s">
        <v>76</v>
      </c>
      <c r="P69" s="22" t="s">
        <v>9</v>
      </c>
      <c r="Q69" s="142"/>
    </row>
    <row r="70" spans="1:17">
      <c r="A70" s="40">
        <v>69</v>
      </c>
      <c r="B70" s="22" t="s">
        <v>649</v>
      </c>
      <c r="C70" s="22" t="s">
        <v>485</v>
      </c>
      <c r="D70" s="22" t="s">
        <v>650</v>
      </c>
      <c r="E70" s="182" t="s">
        <v>100</v>
      </c>
      <c r="F70" s="40" t="s">
        <v>154</v>
      </c>
      <c r="G70" s="256">
        <v>7</v>
      </c>
      <c r="H70" s="40">
        <v>7</v>
      </c>
      <c r="I70" s="23"/>
      <c r="J70" s="40" t="s">
        <v>599</v>
      </c>
      <c r="K70" s="3">
        <v>30</v>
      </c>
      <c r="L70" s="239">
        <v>100</v>
      </c>
      <c r="M70" s="99">
        <f t="shared" si="2"/>
        <v>0.3</v>
      </c>
      <c r="N70" s="3" t="s">
        <v>58</v>
      </c>
      <c r="O70" s="40" t="s">
        <v>76</v>
      </c>
      <c r="P70" s="22" t="s">
        <v>9</v>
      </c>
      <c r="Q70" s="22"/>
    </row>
    <row r="71" spans="1:17">
      <c r="A71" s="43">
        <v>70</v>
      </c>
      <c r="B71" s="22" t="s">
        <v>448</v>
      </c>
      <c r="C71" s="22" t="s">
        <v>255</v>
      </c>
      <c r="D71" s="22" t="s">
        <v>449</v>
      </c>
      <c r="E71" s="182" t="s">
        <v>100</v>
      </c>
      <c r="F71" s="40" t="s">
        <v>154</v>
      </c>
      <c r="G71" s="12">
        <v>8</v>
      </c>
      <c r="H71" s="12">
        <v>8</v>
      </c>
      <c r="I71" s="23"/>
      <c r="J71" s="40" t="s">
        <v>599</v>
      </c>
      <c r="K71" s="3">
        <v>29</v>
      </c>
      <c r="L71" s="239">
        <v>100</v>
      </c>
      <c r="M71" s="99">
        <f t="shared" ref="M71:M81" si="3">K71/L71</f>
        <v>0.28999999999999998</v>
      </c>
      <c r="N71" s="3" t="s">
        <v>58</v>
      </c>
      <c r="O71" s="40" t="s">
        <v>76</v>
      </c>
      <c r="P71" s="22" t="s">
        <v>9</v>
      </c>
      <c r="Q71" s="142"/>
    </row>
    <row r="72" spans="1:17">
      <c r="A72" s="43">
        <v>71</v>
      </c>
      <c r="B72" s="22" t="s">
        <v>641</v>
      </c>
      <c r="C72" s="22" t="s">
        <v>177</v>
      </c>
      <c r="D72" s="22" t="s">
        <v>175</v>
      </c>
      <c r="E72" s="182" t="s">
        <v>100</v>
      </c>
      <c r="F72" s="40" t="s">
        <v>154</v>
      </c>
      <c r="G72" s="12">
        <v>8</v>
      </c>
      <c r="H72" s="12">
        <v>8</v>
      </c>
      <c r="I72" s="23"/>
      <c r="J72" s="40" t="s">
        <v>599</v>
      </c>
      <c r="K72" s="3">
        <v>27</v>
      </c>
      <c r="L72" s="239">
        <v>100</v>
      </c>
      <c r="M72" s="99">
        <f t="shared" si="3"/>
        <v>0.27</v>
      </c>
      <c r="N72" s="3" t="s">
        <v>58</v>
      </c>
      <c r="O72" s="40" t="s">
        <v>76</v>
      </c>
      <c r="P72" s="22" t="s">
        <v>9</v>
      </c>
      <c r="Q72" s="142"/>
    </row>
    <row r="73" spans="1:17">
      <c r="A73" s="43">
        <v>72</v>
      </c>
      <c r="B73" s="22" t="s">
        <v>375</v>
      </c>
      <c r="C73" s="22" t="s">
        <v>238</v>
      </c>
      <c r="D73" s="22" t="s">
        <v>198</v>
      </c>
      <c r="E73" s="182" t="s">
        <v>100</v>
      </c>
      <c r="F73" s="40" t="s">
        <v>154</v>
      </c>
      <c r="G73" s="12">
        <v>8</v>
      </c>
      <c r="H73" s="12">
        <v>8</v>
      </c>
      <c r="I73" s="23"/>
      <c r="J73" s="40" t="s">
        <v>599</v>
      </c>
      <c r="K73" s="3">
        <v>23</v>
      </c>
      <c r="L73" s="239">
        <v>100</v>
      </c>
      <c r="M73" s="99">
        <f t="shared" si="3"/>
        <v>0.23</v>
      </c>
      <c r="N73" s="3" t="s">
        <v>58</v>
      </c>
      <c r="O73" s="40" t="s">
        <v>76</v>
      </c>
      <c r="P73" s="22" t="s">
        <v>9</v>
      </c>
      <c r="Q73" s="142"/>
    </row>
    <row r="74" spans="1:17">
      <c r="A74" s="43">
        <v>73</v>
      </c>
      <c r="B74" s="22" t="s">
        <v>315</v>
      </c>
      <c r="C74" s="22" t="s">
        <v>314</v>
      </c>
      <c r="D74" s="22" t="s">
        <v>313</v>
      </c>
      <c r="E74" s="182" t="s">
        <v>100</v>
      </c>
      <c r="F74" s="40" t="s">
        <v>154</v>
      </c>
      <c r="G74" s="12">
        <v>8</v>
      </c>
      <c r="H74" s="12">
        <v>8</v>
      </c>
      <c r="I74" s="23"/>
      <c r="J74" s="40" t="s">
        <v>599</v>
      </c>
      <c r="K74" s="3">
        <v>22</v>
      </c>
      <c r="L74" s="239">
        <v>100</v>
      </c>
      <c r="M74" s="99">
        <f t="shared" si="3"/>
        <v>0.22</v>
      </c>
      <c r="N74" s="3" t="s">
        <v>58</v>
      </c>
      <c r="O74" s="40" t="s">
        <v>76</v>
      </c>
      <c r="P74" s="22" t="s">
        <v>9</v>
      </c>
      <c r="Q74" s="142"/>
    </row>
    <row r="75" spans="1:17">
      <c r="A75" s="43">
        <v>74</v>
      </c>
      <c r="B75" s="22" t="s">
        <v>461</v>
      </c>
      <c r="C75" s="22" t="s">
        <v>289</v>
      </c>
      <c r="D75" s="22" t="s">
        <v>233</v>
      </c>
      <c r="E75" s="182" t="s">
        <v>100</v>
      </c>
      <c r="F75" s="40" t="s">
        <v>154</v>
      </c>
      <c r="G75" s="12">
        <v>8</v>
      </c>
      <c r="H75" s="12">
        <v>8</v>
      </c>
      <c r="I75" s="23"/>
      <c r="J75" s="40" t="s">
        <v>599</v>
      </c>
      <c r="K75" s="3">
        <v>22</v>
      </c>
      <c r="L75" s="239">
        <v>100</v>
      </c>
      <c r="M75" s="99">
        <f t="shared" si="3"/>
        <v>0.22</v>
      </c>
      <c r="N75" s="3" t="s">
        <v>58</v>
      </c>
      <c r="O75" s="40" t="s">
        <v>76</v>
      </c>
      <c r="P75" s="22" t="s">
        <v>9</v>
      </c>
      <c r="Q75" s="142"/>
    </row>
    <row r="76" spans="1:17">
      <c r="A76" s="43">
        <v>75</v>
      </c>
      <c r="B76" s="22" t="s">
        <v>529</v>
      </c>
      <c r="C76" s="22" t="s">
        <v>289</v>
      </c>
      <c r="D76" s="22" t="s">
        <v>235</v>
      </c>
      <c r="E76" s="182" t="s">
        <v>100</v>
      </c>
      <c r="F76" s="40" t="s">
        <v>154</v>
      </c>
      <c r="G76" s="12">
        <v>8</v>
      </c>
      <c r="H76" s="12">
        <v>8</v>
      </c>
      <c r="I76" s="23"/>
      <c r="J76" s="40" t="s">
        <v>599</v>
      </c>
      <c r="K76" s="3">
        <v>21</v>
      </c>
      <c r="L76" s="239">
        <v>100</v>
      </c>
      <c r="M76" s="99">
        <f t="shared" si="3"/>
        <v>0.21</v>
      </c>
      <c r="N76" s="3" t="s">
        <v>58</v>
      </c>
      <c r="O76" s="40" t="s">
        <v>76</v>
      </c>
      <c r="P76" s="22" t="s">
        <v>9</v>
      </c>
      <c r="Q76" s="142"/>
    </row>
    <row r="77" spans="1:17">
      <c r="A77" s="43">
        <v>76</v>
      </c>
      <c r="B77" s="22" t="s">
        <v>642</v>
      </c>
      <c r="C77" s="22" t="s">
        <v>382</v>
      </c>
      <c r="D77" s="22" t="s">
        <v>383</v>
      </c>
      <c r="E77" s="182" t="s">
        <v>100</v>
      </c>
      <c r="F77" s="40" t="s">
        <v>154</v>
      </c>
      <c r="G77" s="12">
        <v>8</v>
      </c>
      <c r="H77" s="12">
        <v>8</v>
      </c>
      <c r="I77" s="23"/>
      <c r="J77" s="40" t="s">
        <v>599</v>
      </c>
      <c r="K77" s="3">
        <v>20</v>
      </c>
      <c r="L77" s="239">
        <v>100</v>
      </c>
      <c r="M77" s="99">
        <f t="shared" si="3"/>
        <v>0.2</v>
      </c>
      <c r="N77" s="3" t="s">
        <v>58</v>
      </c>
      <c r="O77" s="40" t="s">
        <v>76</v>
      </c>
      <c r="P77" s="22" t="s">
        <v>9</v>
      </c>
      <c r="Q77" s="142"/>
    </row>
    <row r="78" spans="1:17">
      <c r="A78" s="43">
        <v>77</v>
      </c>
      <c r="B78" s="22" t="s">
        <v>379</v>
      </c>
      <c r="C78" s="22" t="s">
        <v>380</v>
      </c>
      <c r="D78" s="22" t="s">
        <v>175</v>
      </c>
      <c r="E78" s="182" t="s">
        <v>100</v>
      </c>
      <c r="F78" s="40" t="s">
        <v>154</v>
      </c>
      <c r="G78" s="12">
        <v>8</v>
      </c>
      <c r="H78" s="12">
        <v>8</v>
      </c>
      <c r="I78" s="23"/>
      <c r="J78" s="40" t="s">
        <v>599</v>
      </c>
      <c r="K78" s="3">
        <v>16</v>
      </c>
      <c r="L78" s="239">
        <v>100</v>
      </c>
      <c r="M78" s="99">
        <f t="shared" si="3"/>
        <v>0.16</v>
      </c>
      <c r="N78" s="3" t="s">
        <v>58</v>
      </c>
      <c r="O78" s="40" t="s">
        <v>76</v>
      </c>
      <c r="P78" s="22" t="s">
        <v>9</v>
      </c>
      <c r="Q78" s="142"/>
    </row>
    <row r="79" spans="1:17">
      <c r="A79" s="43">
        <v>78</v>
      </c>
      <c r="B79" s="22" t="s">
        <v>570</v>
      </c>
      <c r="C79" s="22" t="s">
        <v>188</v>
      </c>
      <c r="D79" s="22" t="s">
        <v>357</v>
      </c>
      <c r="E79" s="182" t="s">
        <v>100</v>
      </c>
      <c r="F79" s="40" t="s">
        <v>154</v>
      </c>
      <c r="G79" s="12">
        <v>8</v>
      </c>
      <c r="H79" s="12">
        <v>8</v>
      </c>
      <c r="I79" s="23"/>
      <c r="J79" s="40" t="s">
        <v>599</v>
      </c>
      <c r="K79" s="3">
        <v>15</v>
      </c>
      <c r="L79" s="239">
        <v>100</v>
      </c>
      <c r="M79" s="99">
        <f t="shared" si="3"/>
        <v>0.15</v>
      </c>
      <c r="N79" s="3" t="s">
        <v>58</v>
      </c>
      <c r="O79" s="40" t="s">
        <v>76</v>
      </c>
      <c r="P79" s="22" t="s">
        <v>9</v>
      </c>
      <c r="Q79" s="142"/>
    </row>
    <row r="80" spans="1:17">
      <c r="A80" s="43">
        <v>79</v>
      </c>
      <c r="B80" s="22" t="s">
        <v>643</v>
      </c>
      <c r="C80" s="22" t="s">
        <v>215</v>
      </c>
      <c r="D80" s="22" t="s">
        <v>502</v>
      </c>
      <c r="E80" s="182" t="s">
        <v>100</v>
      </c>
      <c r="F80" s="40" t="s">
        <v>154</v>
      </c>
      <c r="G80" s="12">
        <v>8</v>
      </c>
      <c r="H80" s="12">
        <v>8</v>
      </c>
      <c r="I80" s="23"/>
      <c r="J80" s="40" t="s">
        <v>599</v>
      </c>
      <c r="K80" s="3">
        <v>13</v>
      </c>
      <c r="L80" s="239">
        <v>100</v>
      </c>
      <c r="M80" s="99">
        <f t="shared" si="3"/>
        <v>0.13</v>
      </c>
      <c r="N80" s="3" t="s">
        <v>58</v>
      </c>
      <c r="O80" s="40" t="s">
        <v>76</v>
      </c>
      <c r="P80" s="22" t="s">
        <v>9</v>
      </c>
      <c r="Q80" s="142"/>
    </row>
    <row r="81" spans="1:17">
      <c r="A81" s="43">
        <v>80</v>
      </c>
      <c r="B81" s="22" t="s">
        <v>317</v>
      </c>
      <c r="C81" s="22" t="s">
        <v>316</v>
      </c>
      <c r="D81" s="22" t="s">
        <v>644</v>
      </c>
      <c r="E81" s="239" t="s">
        <v>100</v>
      </c>
      <c r="F81" s="40" t="s">
        <v>154</v>
      </c>
      <c r="G81" s="12">
        <v>8</v>
      </c>
      <c r="H81" s="12">
        <v>8</v>
      </c>
      <c r="I81" s="23"/>
      <c r="J81" s="40" t="s">
        <v>599</v>
      </c>
      <c r="K81" s="3">
        <v>12</v>
      </c>
      <c r="L81" s="239">
        <v>100</v>
      </c>
      <c r="M81" s="99">
        <f t="shared" si="3"/>
        <v>0.12</v>
      </c>
      <c r="N81" s="3" t="s">
        <v>58</v>
      </c>
      <c r="O81" s="40" t="s">
        <v>76</v>
      </c>
      <c r="P81" s="22" t="s">
        <v>9</v>
      </c>
      <c r="Q81" s="142"/>
    </row>
    <row r="82" spans="1:17">
      <c r="A82" s="43">
        <v>81</v>
      </c>
      <c r="B82" s="40" t="s">
        <v>219</v>
      </c>
      <c r="C82" s="40" t="s">
        <v>204</v>
      </c>
      <c r="D82" s="40" t="s">
        <v>220</v>
      </c>
      <c r="E82" s="43" t="s">
        <v>100</v>
      </c>
      <c r="F82" s="40" t="s">
        <v>154</v>
      </c>
      <c r="G82" s="184">
        <v>9</v>
      </c>
      <c r="H82" s="40">
        <v>9</v>
      </c>
      <c r="I82" s="40"/>
      <c r="J82" s="40" t="s">
        <v>599</v>
      </c>
      <c r="K82" s="236">
        <v>64</v>
      </c>
      <c r="L82" s="239">
        <v>100</v>
      </c>
      <c r="M82" s="99">
        <f t="shared" ref="M82:M100" si="4">K82/L82</f>
        <v>0.64</v>
      </c>
      <c r="N82" s="3" t="s">
        <v>49</v>
      </c>
      <c r="O82" s="40" t="s">
        <v>76</v>
      </c>
      <c r="P82" s="22" t="s">
        <v>9</v>
      </c>
      <c r="Q82" s="142"/>
    </row>
    <row r="83" spans="1:17">
      <c r="A83" s="43">
        <v>82</v>
      </c>
      <c r="B83" s="40" t="s">
        <v>221</v>
      </c>
      <c r="C83" s="40" t="s">
        <v>177</v>
      </c>
      <c r="D83" s="40" t="s">
        <v>220</v>
      </c>
      <c r="E83" s="43" t="s">
        <v>100</v>
      </c>
      <c r="F83" s="40" t="s">
        <v>154</v>
      </c>
      <c r="G83" s="184">
        <v>9</v>
      </c>
      <c r="H83" s="40">
        <v>9</v>
      </c>
      <c r="I83" s="40"/>
      <c r="J83" s="40" t="s">
        <v>599</v>
      </c>
      <c r="K83" s="236">
        <v>48.5</v>
      </c>
      <c r="L83" s="239">
        <v>100</v>
      </c>
      <c r="M83" s="99">
        <f t="shared" si="4"/>
        <v>0.48499999999999999</v>
      </c>
      <c r="N83" s="3" t="s">
        <v>50</v>
      </c>
      <c r="O83" s="40" t="s">
        <v>76</v>
      </c>
      <c r="P83" s="22" t="s">
        <v>9</v>
      </c>
      <c r="Q83" s="142"/>
    </row>
    <row r="84" spans="1:17">
      <c r="A84" s="43">
        <v>83</v>
      </c>
      <c r="B84" s="22" t="s">
        <v>222</v>
      </c>
      <c r="C84" s="40" t="s">
        <v>177</v>
      </c>
      <c r="D84" s="40" t="s">
        <v>223</v>
      </c>
      <c r="E84" s="43" t="s">
        <v>100</v>
      </c>
      <c r="F84" s="40" t="s">
        <v>154</v>
      </c>
      <c r="G84" s="184">
        <v>9</v>
      </c>
      <c r="H84" s="40">
        <v>9</v>
      </c>
      <c r="I84" s="40"/>
      <c r="J84" s="40" t="s">
        <v>599</v>
      </c>
      <c r="K84" s="236">
        <v>47.5</v>
      </c>
      <c r="L84" s="239">
        <v>100</v>
      </c>
      <c r="M84" s="99">
        <f t="shared" si="4"/>
        <v>0.47499999999999998</v>
      </c>
      <c r="N84" s="3" t="s">
        <v>50</v>
      </c>
      <c r="O84" s="40" t="s">
        <v>76</v>
      </c>
      <c r="P84" s="22" t="s">
        <v>9</v>
      </c>
      <c r="Q84" s="142"/>
    </row>
    <row r="85" spans="1:17">
      <c r="A85" s="43">
        <v>84</v>
      </c>
      <c r="B85" s="22" t="s">
        <v>224</v>
      </c>
      <c r="C85" s="40" t="s">
        <v>225</v>
      </c>
      <c r="D85" s="40" t="s">
        <v>174</v>
      </c>
      <c r="E85" s="43" t="s">
        <v>100</v>
      </c>
      <c r="F85" s="40" t="s">
        <v>154</v>
      </c>
      <c r="G85" s="184">
        <v>9</v>
      </c>
      <c r="H85" s="40">
        <v>9</v>
      </c>
      <c r="I85" s="40"/>
      <c r="J85" s="40" t="s">
        <v>599</v>
      </c>
      <c r="K85" s="236">
        <v>45</v>
      </c>
      <c r="L85" s="239">
        <v>100</v>
      </c>
      <c r="M85" s="99">
        <f t="shared" si="4"/>
        <v>0.45</v>
      </c>
      <c r="N85" s="3" t="s">
        <v>58</v>
      </c>
      <c r="O85" s="40" t="s">
        <v>76</v>
      </c>
      <c r="P85" s="22" t="s">
        <v>9</v>
      </c>
      <c r="Q85" s="142"/>
    </row>
    <row r="86" spans="1:17">
      <c r="A86" s="43">
        <v>85</v>
      </c>
      <c r="B86" s="22" t="s">
        <v>226</v>
      </c>
      <c r="C86" s="40" t="s">
        <v>227</v>
      </c>
      <c r="D86" s="40" t="s">
        <v>175</v>
      </c>
      <c r="E86" s="43" t="s">
        <v>100</v>
      </c>
      <c r="F86" s="40" t="s">
        <v>154</v>
      </c>
      <c r="G86" s="184">
        <v>9</v>
      </c>
      <c r="H86" s="40">
        <v>9</v>
      </c>
      <c r="I86" s="40"/>
      <c r="J86" s="40" t="s">
        <v>599</v>
      </c>
      <c r="K86" s="236">
        <v>44.5</v>
      </c>
      <c r="L86" s="239">
        <v>100</v>
      </c>
      <c r="M86" s="99">
        <f t="shared" si="4"/>
        <v>0.44500000000000001</v>
      </c>
      <c r="N86" s="3" t="s">
        <v>58</v>
      </c>
      <c r="O86" s="40" t="s">
        <v>76</v>
      </c>
      <c r="P86" s="22" t="s">
        <v>9</v>
      </c>
      <c r="Q86" s="142"/>
    </row>
    <row r="87" spans="1:17">
      <c r="A87" s="43">
        <v>86</v>
      </c>
      <c r="B87" s="22" t="s">
        <v>228</v>
      </c>
      <c r="C87" s="40" t="s">
        <v>229</v>
      </c>
      <c r="D87" s="40" t="s">
        <v>205</v>
      </c>
      <c r="E87" s="43" t="s">
        <v>100</v>
      </c>
      <c r="F87" s="40" t="s">
        <v>154</v>
      </c>
      <c r="G87" s="184">
        <v>9</v>
      </c>
      <c r="H87" s="40">
        <v>9</v>
      </c>
      <c r="I87" s="40"/>
      <c r="J87" s="40" t="s">
        <v>599</v>
      </c>
      <c r="K87" s="236">
        <v>42.5</v>
      </c>
      <c r="L87" s="239">
        <v>100</v>
      </c>
      <c r="M87" s="99">
        <f t="shared" si="4"/>
        <v>0.42499999999999999</v>
      </c>
      <c r="N87" s="3" t="s">
        <v>58</v>
      </c>
      <c r="O87" s="40" t="s">
        <v>76</v>
      </c>
      <c r="P87" s="22" t="s">
        <v>9</v>
      </c>
      <c r="Q87" s="142"/>
    </row>
    <row r="88" spans="1:17">
      <c r="A88" s="43">
        <v>87</v>
      </c>
      <c r="B88" s="22" t="s">
        <v>230</v>
      </c>
      <c r="C88" s="40" t="s">
        <v>200</v>
      </c>
      <c r="D88" s="40" t="s">
        <v>210</v>
      </c>
      <c r="E88" s="43" t="s">
        <v>100</v>
      </c>
      <c r="F88" s="40" t="s">
        <v>154</v>
      </c>
      <c r="G88" s="184">
        <v>9</v>
      </c>
      <c r="H88" s="40">
        <v>9</v>
      </c>
      <c r="I88" s="40"/>
      <c r="J88" s="40" t="s">
        <v>599</v>
      </c>
      <c r="K88" s="236">
        <v>38.5</v>
      </c>
      <c r="L88" s="239">
        <v>100</v>
      </c>
      <c r="M88" s="99">
        <f t="shared" si="4"/>
        <v>0.38500000000000001</v>
      </c>
      <c r="N88" s="3" t="s">
        <v>58</v>
      </c>
      <c r="O88" s="40" t="s">
        <v>76</v>
      </c>
      <c r="P88" s="22" t="s">
        <v>9</v>
      </c>
      <c r="Q88" s="142"/>
    </row>
    <row r="89" spans="1:17">
      <c r="A89" s="43">
        <v>88</v>
      </c>
      <c r="B89" s="22" t="s">
        <v>231</v>
      </c>
      <c r="C89" s="40" t="s">
        <v>232</v>
      </c>
      <c r="D89" s="40" t="s">
        <v>233</v>
      </c>
      <c r="E89" s="43" t="s">
        <v>100</v>
      </c>
      <c r="F89" s="40" t="s">
        <v>154</v>
      </c>
      <c r="G89" s="184">
        <v>9</v>
      </c>
      <c r="H89" s="40">
        <v>9</v>
      </c>
      <c r="I89" s="40"/>
      <c r="J89" s="40" t="s">
        <v>599</v>
      </c>
      <c r="K89" s="236">
        <v>38</v>
      </c>
      <c r="L89" s="239">
        <v>100</v>
      </c>
      <c r="M89" s="99">
        <f t="shared" si="4"/>
        <v>0.38</v>
      </c>
      <c r="N89" s="3" t="s">
        <v>58</v>
      </c>
      <c r="O89" s="40" t="s">
        <v>76</v>
      </c>
      <c r="P89" s="22" t="s">
        <v>9</v>
      </c>
      <c r="Q89" s="142"/>
    </row>
    <row r="90" spans="1:17">
      <c r="A90" s="43">
        <v>89</v>
      </c>
      <c r="B90" s="22" t="s">
        <v>234</v>
      </c>
      <c r="C90" s="40" t="s">
        <v>225</v>
      </c>
      <c r="D90" s="40" t="s">
        <v>235</v>
      </c>
      <c r="E90" s="43" t="s">
        <v>100</v>
      </c>
      <c r="F90" s="40" t="s">
        <v>154</v>
      </c>
      <c r="G90" s="184">
        <v>9</v>
      </c>
      <c r="H90" s="40">
        <v>9</v>
      </c>
      <c r="I90" s="40"/>
      <c r="J90" s="40" t="s">
        <v>599</v>
      </c>
      <c r="K90" s="236">
        <v>35</v>
      </c>
      <c r="L90" s="239">
        <v>100</v>
      </c>
      <c r="M90" s="99">
        <f t="shared" si="4"/>
        <v>0.35</v>
      </c>
      <c r="N90" s="3" t="s">
        <v>58</v>
      </c>
      <c r="O90" s="40" t="s">
        <v>76</v>
      </c>
      <c r="P90" s="22" t="s">
        <v>9</v>
      </c>
      <c r="Q90" s="142"/>
    </row>
    <row r="91" spans="1:17">
      <c r="A91" s="43">
        <v>90</v>
      </c>
      <c r="B91" s="22" t="s">
        <v>236</v>
      </c>
      <c r="C91" s="40" t="s">
        <v>237</v>
      </c>
      <c r="D91" s="40" t="s">
        <v>233</v>
      </c>
      <c r="E91" s="43" t="s">
        <v>100</v>
      </c>
      <c r="F91" s="40" t="s">
        <v>154</v>
      </c>
      <c r="G91" s="184">
        <v>9</v>
      </c>
      <c r="H91" s="40">
        <v>9</v>
      </c>
      <c r="I91" s="40"/>
      <c r="J91" s="40" t="s">
        <v>599</v>
      </c>
      <c r="K91" s="236">
        <v>33.5</v>
      </c>
      <c r="L91" s="239">
        <v>100</v>
      </c>
      <c r="M91" s="99">
        <f t="shared" si="4"/>
        <v>0.33500000000000002</v>
      </c>
      <c r="N91" s="3" t="s">
        <v>58</v>
      </c>
      <c r="O91" s="40" t="s">
        <v>76</v>
      </c>
      <c r="P91" s="22" t="s">
        <v>9</v>
      </c>
      <c r="Q91" s="142"/>
    </row>
    <row r="92" spans="1:17">
      <c r="A92" s="43">
        <v>91</v>
      </c>
      <c r="B92" s="22" t="s">
        <v>182</v>
      </c>
      <c r="C92" s="40" t="s">
        <v>238</v>
      </c>
      <c r="D92" s="40" t="s">
        <v>198</v>
      </c>
      <c r="E92" s="43" t="s">
        <v>100</v>
      </c>
      <c r="F92" s="40" t="s">
        <v>154</v>
      </c>
      <c r="G92" s="184">
        <v>9</v>
      </c>
      <c r="H92" s="40">
        <v>9</v>
      </c>
      <c r="I92" s="40"/>
      <c r="J92" s="40" t="s">
        <v>599</v>
      </c>
      <c r="K92" s="236">
        <v>32</v>
      </c>
      <c r="L92" s="239">
        <v>100</v>
      </c>
      <c r="M92" s="99">
        <f t="shared" si="4"/>
        <v>0.32</v>
      </c>
      <c r="N92" s="3" t="s">
        <v>58</v>
      </c>
      <c r="O92" s="40" t="s">
        <v>76</v>
      </c>
      <c r="P92" s="22" t="s">
        <v>9</v>
      </c>
      <c r="Q92" s="142"/>
    </row>
    <row r="93" spans="1:17">
      <c r="A93" s="43">
        <v>92</v>
      </c>
      <c r="B93" s="22" t="s">
        <v>239</v>
      </c>
      <c r="C93" s="40" t="s">
        <v>229</v>
      </c>
      <c r="D93" s="40" t="s">
        <v>240</v>
      </c>
      <c r="E93" s="43" t="s">
        <v>100</v>
      </c>
      <c r="F93" s="40" t="s">
        <v>154</v>
      </c>
      <c r="G93" s="184">
        <v>9</v>
      </c>
      <c r="H93" s="40">
        <v>9</v>
      </c>
      <c r="I93" s="40"/>
      <c r="J93" s="40" t="s">
        <v>599</v>
      </c>
      <c r="K93" s="236">
        <v>29</v>
      </c>
      <c r="L93" s="239">
        <v>100</v>
      </c>
      <c r="M93" s="99">
        <f t="shared" si="4"/>
        <v>0.28999999999999998</v>
      </c>
      <c r="N93" s="3" t="s">
        <v>58</v>
      </c>
      <c r="O93" s="40" t="s">
        <v>76</v>
      </c>
      <c r="P93" s="22" t="s">
        <v>9</v>
      </c>
      <c r="Q93" s="142"/>
    </row>
    <row r="94" spans="1:17">
      <c r="A94" s="43">
        <v>93</v>
      </c>
      <c r="B94" s="22" t="s">
        <v>241</v>
      </c>
      <c r="C94" s="40" t="s">
        <v>242</v>
      </c>
      <c r="D94" s="40" t="s">
        <v>243</v>
      </c>
      <c r="E94" s="43" t="s">
        <v>100</v>
      </c>
      <c r="F94" s="40" t="s">
        <v>154</v>
      </c>
      <c r="G94" s="184">
        <v>9</v>
      </c>
      <c r="H94" s="40">
        <v>9</v>
      </c>
      <c r="I94" s="40"/>
      <c r="J94" s="40" t="s">
        <v>599</v>
      </c>
      <c r="K94" s="236">
        <v>28.5</v>
      </c>
      <c r="L94" s="239">
        <v>100</v>
      </c>
      <c r="M94" s="99">
        <f t="shared" si="4"/>
        <v>0.28499999999999998</v>
      </c>
      <c r="N94" s="3" t="s">
        <v>58</v>
      </c>
      <c r="O94" s="40" t="s">
        <v>76</v>
      </c>
      <c r="P94" s="22" t="s">
        <v>9</v>
      </c>
      <c r="Q94" s="142"/>
    </row>
    <row r="95" spans="1:17">
      <c r="A95" s="43">
        <v>94</v>
      </c>
      <c r="B95" s="22" t="s">
        <v>244</v>
      </c>
      <c r="C95" s="40" t="s">
        <v>245</v>
      </c>
      <c r="D95" s="40" t="s">
        <v>246</v>
      </c>
      <c r="E95" s="43" t="s">
        <v>99</v>
      </c>
      <c r="F95" s="40" t="s">
        <v>154</v>
      </c>
      <c r="G95" s="184">
        <v>9</v>
      </c>
      <c r="H95" s="40">
        <v>9</v>
      </c>
      <c r="I95" s="40"/>
      <c r="J95" s="40" t="s">
        <v>599</v>
      </c>
      <c r="K95" s="236">
        <v>28</v>
      </c>
      <c r="L95" s="239">
        <v>100</v>
      </c>
      <c r="M95" s="99">
        <f t="shared" si="4"/>
        <v>0.28000000000000003</v>
      </c>
      <c r="N95" s="3" t="s">
        <v>58</v>
      </c>
      <c r="O95" s="40" t="s">
        <v>76</v>
      </c>
      <c r="P95" s="22" t="s">
        <v>9</v>
      </c>
      <c r="Q95" s="142"/>
    </row>
    <row r="96" spans="1:17">
      <c r="A96" s="43">
        <v>95</v>
      </c>
      <c r="B96" s="22" t="s">
        <v>247</v>
      </c>
      <c r="C96" s="97" t="s">
        <v>248</v>
      </c>
      <c r="D96" s="97" t="s">
        <v>198</v>
      </c>
      <c r="E96" s="43" t="s">
        <v>100</v>
      </c>
      <c r="F96" s="40" t="s">
        <v>154</v>
      </c>
      <c r="G96" s="184">
        <v>9</v>
      </c>
      <c r="H96" s="40">
        <v>9</v>
      </c>
      <c r="I96" s="5"/>
      <c r="J96" s="40" t="s">
        <v>599</v>
      </c>
      <c r="K96" s="97">
        <v>28</v>
      </c>
      <c r="L96" s="239">
        <v>100</v>
      </c>
      <c r="M96" s="99">
        <f t="shared" si="4"/>
        <v>0.28000000000000003</v>
      </c>
      <c r="N96" s="3" t="s">
        <v>58</v>
      </c>
      <c r="O96" s="40" t="s">
        <v>76</v>
      </c>
      <c r="P96" s="22" t="s">
        <v>9</v>
      </c>
      <c r="Q96" s="142"/>
    </row>
    <row r="97" spans="1:17">
      <c r="A97" s="43">
        <v>96</v>
      </c>
      <c r="B97" s="97" t="s">
        <v>249</v>
      </c>
      <c r="C97" s="40" t="s">
        <v>232</v>
      </c>
      <c r="D97" s="97" t="s">
        <v>250</v>
      </c>
      <c r="E97" s="182" t="s">
        <v>100</v>
      </c>
      <c r="F97" s="40" t="s">
        <v>154</v>
      </c>
      <c r="G97" s="184">
        <v>9</v>
      </c>
      <c r="H97" s="40">
        <v>9</v>
      </c>
      <c r="I97" s="5"/>
      <c r="J97" s="40" t="s">
        <v>599</v>
      </c>
      <c r="K97" s="97">
        <v>26</v>
      </c>
      <c r="L97" s="239">
        <v>100</v>
      </c>
      <c r="M97" s="99">
        <f t="shared" si="4"/>
        <v>0.26</v>
      </c>
      <c r="N97" s="3" t="s">
        <v>58</v>
      </c>
      <c r="O97" s="40" t="s">
        <v>76</v>
      </c>
      <c r="P97" s="22" t="s">
        <v>9</v>
      </c>
      <c r="Q97" s="142"/>
    </row>
    <row r="98" spans="1:17">
      <c r="A98" s="43">
        <v>97</v>
      </c>
      <c r="B98" s="97" t="s">
        <v>251</v>
      </c>
      <c r="C98" s="97" t="s">
        <v>177</v>
      </c>
      <c r="D98" s="97" t="s">
        <v>252</v>
      </c>
      <c r="E98" s="182" t="s">
        <v>100</v>
      </c>
      <c r="F98" s="40" t="s">
        <v>154</v>
      </c>
      <c r="G98" s="184">
        <v>9</v>
      </c>
      <c r="H98" s="40">
        <v>9</v>
      </c>
      <c r="I98" s="5"/>
      <c r="J98" s="40" t="s">
        <v>599</v>
      </c>
      <c r="K98" s="97">
        <v>26</v>
      </c>
      <c r="L98" s="239">
        <v>100</v>
      </c>
      <c r="M98" s="99">
        <f t="shared" si="4"/>
        <v>0.26</v>
      </c>
      <c r="N98" s="3" t="s">
        <v>58</v>
      </c>
      <c r="O98" s="40" t="s">
        <v>76</v>
      </c>
      <c r="P98" s="22" t="s">
        <v>9</v>
      </c>
      <c r="Q98" s="142"/>
    </row>
    <row r="99" spans="1:17">
      <c r="A99" s="43">
        <v>98</v>
      </c>
      <c r="B99" s="97" t="s">
        <v>253</v>
      </c>
      <c r="C99" s="40" t="s">
        <v>204</v>
      </c>
      <c r="D99" s="118" t="s">
        <v>233</v>
      </c>
      <c r="E99" s="183" t="s">
        <v>100</v>
      </c>
      <c r="F99" s="40" t="s">
        <v>154</v>
      </c>
      <c r="G99" s="184">
        <v>9</v>
      </c>
      <c r="H99" s="40">
        <v>9</v>
      </c>
      <c r="I99" s="5"/>
      <c r="J99" s="40" t="s">
        <v>599</v>
      </c>
      <c r="K99" s="118">
        <v>23.5</v>
      </c>
      <c r="L99" s="239">
        <v>100</v>
      </c>
      <c r="M99" s="99">
        <f t="shared" si="4"/>
        <v>0.23499999999999999</v>
      </c>
      <c r="N99" s="3" t="s">
        <v>58</v>
      </c>
      <c r="O99" s="40" t="s">
        <v>76</v>
      </c>
      <c r="P99" s="22" t="s">
        <v>9</v>
      </c>
      <c r="Q99" s="142"/>
    </row>
    <row r="100" spans="1:17">
      <c r="A100" s="43">
        <v>99</v>
      </c>
      <c r="B100" s="97" t="s">
        <v>254</v>
      </c>
      <c r="C100" s="238" t="s">
        <v>255</v>
      </c>
      <c r="D100" s="97" t="s">
        <v>313</v>
      </c>
      <c r="E100" s="178" t="s">
        <v>100</v>
      </c>
      <c r="F100" s="40" t="s">
        <v>154</v>
      </c>
      <c r="G100" s="184">
        <v>9</v>
      </c>
      <c r="H100" s="40">
        <v>9</v>
      </c>
      <c r="I100" s="47"/>
      <c r="J100" s="40" t="s">
        <v>599</v>
      </c>
      <c r="K100" s="237">
        <v>23</v>
      </c>
      <c r="L100" s="239">
        <v>100</v>
      </c>
      <c r="M100" s="99">
        <f t="shared" si="4"/>
        <v>0.23</v>
      </c>
      <c r="N100" s="3" t="s">
        <v>58</v>
      </c>
      <c r="O100" s="40" t="s">
        <v>76</v>
      </c>
      <c r="P100" s="22" t="s">
        <v>9</v>
      </c>
      <c r="Q100" s="142"/>
    </row>
    <row r="101" spans="1:17">
      <c r="A101" s="43">
        <v>100</v>
      </c>
      <c r="B101" s="22" t="s">
        <v>324</v>
      </c>
      <c r="C101" s="22" t="s">
        <v>323</v>
      </c>
      <c r="D101" s="22" t="s">
        <v>223</v>
      </c>
      <c r="E101" s="239" t="s">
        <v>100</v>
      </c>
      <c r="F101" s="40" t="s">
        <v>154</v>
      </c>
      <c r="G101" s="12">
        <v>10</v>
      </c>
      <c r="H101" s="12">
        <v>10</v>
      </c>
      <c r="I101" s="23"/>
      <c r="J101" s="40" t="s">
        <v>599</v>
      </c>
      <c r="K101" s="3">
        <v>23</v>
      </c>
      <c r="L101" s="239">
        <v>100</v>
      </c>
      <c r="M101" s="99">
        <f t="shared" ref="M101:M103" si="5">K101/L101</f>
        <v>0.23</v>
      </c>
      <c r="N101" s="3" t="s">
        <v>58</v>
      </c>
      <c r="O101" s="40" t="s">
        <v>76</v>
      </c>
      <c r="P101" s="22" t="s">
        <v>9</v>
      </c>
      <c r="Q101" s="22"/>
    </row>
    <row r="102" spans="1:17">
      <c r="A102" s="43">
        <v>101</v>
      </c>
      <c r="B102" s="22" t="s">
        <v>525</v>
      </c>
      <c r="C102" s="22" t="s">
        <v>294</v>
      </c>
      <c r="D102" s="22" t="s">
        <v>175</v>
      </c>
      <c r="E102" s="239" t="s">
        <v>100</v>
      </c>
      <c r="F102" s="40" t="s">
        <v>154</v>
      </c>
      <c r="G102" s="12">
        <v>10</v>
      </c>
      <c r="H102" s="12">
        <v>10</v>
      </c>
      <c r="I102" s="23"/>
      <c r="J102" s="40" t="s">
        <v>599</v>
      </c>
      <c r="K102" s="3">
        <v>10</v>
      </c>
      <c r="L102" s="239">
        <v>100</v>
      </c>
      <c r="M102" s="99">
        <f t="shared" si="5"/>
        <v>0.1</v>
      </c>
      <c r="N102" s="3" t="s">
        <v>58</v>
      </c>
      <c r="O102" s="40" t="s">
        <v>76</v>
      </c>
      <c r="P102" s="22" t="s">
        <v>9</v>
      </c>
      <c r="Q102" s="22"/>
    </row>
    <row r="103" spans="1:17">
      <c r="A103" s="43">
        <v>102</v>
      </c>
      <c r="B103" s="22" t="s">
        <v>421</v>
      </c>
      <c r="C103" s="22" t="s">
        <v>422</v>
      </c>
      <c r="D103" s="22" t="s">
        <v>423</v>
      </c>
      <c r="E103" s="239" t="s">
        <v>100</v>
      </c>
      <c r="F103" s="40" t="s">
        <v>154</v>
      </c>
      <c r="G103" s="12">
        <v>10</v>
      </c>
      <c r="H103" s="12">
        <v>10</v>
      </c>
      <c r="I103" s="23"/>
      <c r="J103" s="40" t="s">
        <v>599</v>
      </c>
      <c r="K103" s="3">
        <v>8</v>
      </c>
      <c r="L103" s="239">
        <v>100</v>
      </c>
      <c r="M103" s="99">
        <f t="shared" si="5"/>
        <v>0.08</v>
      </c>
      <c r="N103" s="3" t="s">
        <v>58</v>
      </c>
      <c r="O103" s="40" t="s">
        <v>76</v>
      </c>
      <c r="P103" s="22" t="s">
        <v>9</v>
      </c>
      <c r="Q103" s="22"/>
    </row>
    <row r="104" spans="1:17">
      <c r="A104" s="43">
        <v>103</v>
      </c>
      <c r="B104" s="40" t="s">
        <v>172</v>
      </c>
      <c r="C104" s="40" t="s">
        <v>173</v>
      </c>
      <c r="D104" s="40" t="s">
        <v>174</v>
      </c>
      <c r="E104" s="43" t="s">
        <v>100</v>
      </c>
      <c r="F104" s="40" t="s">
        <v>154</v>
      </c>
      <c r="G104" s="184">
        <v>11</v>
      </c>
      <c r="H104" s="40">
        <v>11</v>
      </c>
      <c r="I104" s="40"/>
      <c r="J104" s="40" t="s">
        <v>599</v>
      </c>
      <c r="K104" s="236">
        <v>44</v>
      </c>
      <c r="L104" s="239">
        <v>100</v>
      </c>
      <c r="M104" s="99">
        <f t="shared" ref="M104:M114" si="6">K104/L104</f>
        <v>0.44</v>
      </c>
      <c r="N104" s="40" t="s">
        <v>50</v>
      </c>
      <c r="O104" s="40" t="s">
        <v>76</v>
      </c>
      <c r="P104" s="22" t="s">
        <v>9</v>
      </c>
      <c r="Q104" s="142"/>
    </row>
    <row r="105" spans="1:17">
      <c r="A105" s="43">
        <v>104</v>
      </c>
      <c r="B105" s="40" t="s">
        <v>170</v>
      </c>
      <c r="C105" s="40" t="s">
        <v>171</v>
      </c>
      <c r="D105" s="40" t="s">
        <v>175</v>
      </c>
      <c r="E105" s="43" t="s">
        <v>100</v>
      </c>
      <c r="F105" s="40" t="s">
        <v>154</v>
      </c>
      <c r="G105" s="184">
        <v>11</v>
      </c>
      <c r="H105" s="40">
        <v>11</v>
      </c>
      <c r="I105" s="40"/>
      <c r="J105" s="40" t="s">
        <v>599</v>
      </c>
      <c r="K105" s="236">
        <v>44</v>
      </c>
      <c r="L105" s="239">
        <v>100</v>
      </c>
      <c r="M105" s="99">
        <f t="shared" si="6"/>
        <v>0.44</v>
      </c>
      <c r="N105" s="40" t="s">
        <v>58</v>
      </c>
      <c r="O105" s="40" t="s">
        <v>76</v>
      </c>
      <c r="P105" s="22" t="s">
        <v>9</v>
      </c>
      <c r="Q105" s="142"/>
    </row>
    <row r="106" spans="1:17">
      <c r="A106" s="43">
        <v>105</v>
      </c>
      <c r="B106" s="22" t="s">
        <v>591</v>
      </c>
      <c r="C106" s="40" t="s">
        <v>294</v>
      </c>
      <c r="D106" s="40" t="s">
        <v>250</v>
      </c>
      <c r="E106" s="43" t="s">
        <v>100</v>
      </c>
      <c r="F106" s="40" t="s">
        <v>154</v>
      </c>
      <c r="G106" s="184">
        <v>11</v>
      </c>
      <c r="H106" s="40">
        <v>11</v>
      </c>
      <c r="I106" s="40"/>
      <c r="J106" s="40" t="s">
        <v>599</v>
      </c>
      <c r="K106" s="236">
        <v>41</v>
      </c>
      <c r="L106" s="239">
        <v>100</v>
      </c>
      <c r="M106" s="99">
        <f t="shared" si="6"/>
        <v>0.41</v>
      </c>
      <c r="N106" s="40" t="s">
        <v>58</v>
      </c>
      <c r="O106" s="40" t="s">
        <v>76</v>
      </c>
      <c r="P106" s="22" t="s">
        <v>9</v>
      </c>
      <c r="Q106" s="142"/>
    </row>
    <row r="107" spans="1:17">
      <c r="A107" s="43">
        <v>106</v>
      </c>
      <c r="B107" s="22" t="s">
        <v>589</v>
      </c>
      <c r="C107" s="40" t="s">
        <v>289</v>
      </c>
      <c r="D107" s="40" t="s">
        <v>590</v>
      </c>
      <c r="E107" s="43" t="s">
        <v>100</v>
      </c>
      <c r="F107" s="40" t="s">
        <v>154</v>
      </c>
      <c r="G107" s="184">
        <v>11</v>
      </c>
      <c r="H107" s="40">
        <v>11</v>
      </c>
      <c r="I107" s="40"/>
      <c r="J107" s="40" t="s">
        <v>599</v>
      </c>
      <c r="K107" s="236">
        <v>39</v>
      </c>
      <c r="L107" s="239">
        <v>100</v>
      </c>
      <c r="M107" s="99">
        <f t="shared" si="6"/>
        <v>0.39</v>
      </c>
      <c r="N107" s="40" t="s">
        <v>58</v>
      </c>
      <c r="O107" s="40" t="s">
        <v>76</v>
      </c>
      <c r="P107" s="22" t="s">
        <v>9</v>
      </c>
      <c r="Q107" s="142"/>
    </row>
    <row r="108" spans="1:17">
      <c r="A108" s="43">
        <v>107</v>
      </c>
      <c r="B108" s="22" t="s">
        <v>645</v>
      </c>
      <c r="C108" s="40" t="s">
        <v>458</v>
      </c>
      <c r="D108" s="40" t="s">
        <v>459</v>
      </c>
      <c r="E108" s="43" t="s">
        <v>100</v>
      </c>
      <c r="F108" s="40" t="s">
        <v>154</v>
      </c>
      <c r="G108" s="184">
        <v>11</v>
      </c>
      <c r="H108" s="40">
        <v>11</v>
      </c>
      <c r="I108" s="40"/>
      <c r="J108" s="40" t="s">
        <v>599</v>
      </c>
      <c r="K108" s="236">
        <v>36</v>
      </c>
      <c r="L108" s="239">
        <v>100</v>
      </c>
      <c r="M108" s="99">
        <f t="shared" si="6"/>
        <v>0.36</v>
      </c>
      <c r="N108" s="40" t="s">
        <v>58</v>
      </c>
      <c r="O108" s="40" t="s">
        <v>76</v>
      </c>
      <c r="P108" s="22" t="s">
        <v>9</v>
      </c>
      <c r="Q108" s="142"/>
    </row>
    <row r="109" spans="1:17">
      <c r="A109" s="43">
        <v>108</v>
      </c>
      <c r="B109" s="22" t="s">
        <v>179</v>
      </c>
      <c r="C109" s="40" t="s">
        <v>274</v>
      </c>
      <c r="D109" s="40" t="s">
        <v>181</v>
      </c>
      <c r="E109" s="43" t="s">
        <v>99</v>
      </c>
      <c r="F109" s="40" t="s">
        <v>154</v>
      </c>
      <c r="G109" s="184">
        <v>11</v>
      </c>
      <c r="H109" s="40">
        <v>11</v>
      </c>
      <c r="I109" s="40"/>
      <c r="J109" s="40" t="s">
        <v>599</v>
      </c>
      <c r="K109" s="236">
        <v>36</v>
      </c>
      <c r="L109" s="239">
        <v>100</v>
      </c>
      <c r="M109" s="99">
        <f t="shared" si="6"/>
        <v>0.36</v>
      </c>
      <c r="N109" s="40" t="s">
        <v>58</v>
      </c>
      <c r="O109" s="40" t="s">
        <v>76</v>
      </c>
      <c r="P109" s="22" t="s">
        <v>9</v>
      </c>
      <c r="Q109" s="142"/>
    </row>
    <row r="110" spans="1:17">
      <c r="A110" s="43">
        <v>109</v>
      </c>
      <c r="B110" s="22" t="s">
        <v>275</v>
      </c>
      <c r="C110" s="40" t="s">
        <v>215</v>
      </c>
      <c r="D110" s="40" t="s">
        <v>216</v>
      </c>
      <c r="E110" s="43" t="s">
        <v>99</v>
      </c>
      <c r="F110" s="40" t="s">
        <v>154</v>
      </c>
      <c r="G110" s="184">
        <v>11</v>
      </c>
      <c r="H110" s="40">
        <v>11</v>
      </c>
      <c r="I110" s="40"/>
      <c r="J110" s="40" t="s">
        <v>599</v>
      </c>
      <c r="K110" s="236">
        <v>29</v>
      </c>
      <c r="L110" s="239">
        <v>100</v>
      </c>
      <c r="M110" s="99">
        <f t="shared" si="6"/>
        <v>0.28999999999999998</v>
      </c>
      <c r="N110" s="40" t="s">
        <v>58</v>
      </c>
      <c r="O110" s="40" t="s">
        <v>76</v>
      </c>
      <c r="P110" s="22" t="s">
        <v>9</v>
      </c>
      <c r="Q110" s="142"/>
    </row>
    <row r="111" spans="1:17">
      <c r="A111" s="43">
        <v>110</v>
      </c>
      <c r="B111" s="22" t="s">
        <v>537</v>
      </c>
      <c r="C111" s="40" t="s">
        <v>538</v>
      </c>
      <c r="D111" s="40" t="s">
        <v>246</v>
      </c>
      <c r="E111" s="43" t="s">
        <v>99</v>
      </c>
      <c r="F111" s="40" t="s">
        <v>154</v>
      </c>
      <c r="G111" s="184">
        <v>11</v>
      </c>
      <c r="H111" s="40">
        <v>11</v>
      </c>
      <c r="I111" s="40"/>
      <c r="J111" s="40" t="s">
        <v>599</v>
      </c>
      <c r="K111" s="236">
        <v>23</v>
      </c>
      <c r="L111" s="239">
        <v>100</v>
      </c>
      <c r="M111" s="99">
        <f t="shared" si="6"/>
        <v>0.23</v>
      </c>
      <c r="N111" s="40" t="s">
        <v>58</v>
      </c>
      <c r="O111" s="40" t="s">
        <v>76</v>
      </c>
      <c r="P111" s="22" t="s">
        <v>9</v>
      </c>
      <c r="Q111" s="142"/>
    </row>
    <row r="112" spans="1:17">
      <c r="A112" s="43">
        <v>111</v>
      </c>
      <c r="B112" s="22" t="s">
        <v>428</v>
      </c>
      <c r="C112" s="40" t="s">
        <v>429</v>
      </c>
      <c r="D112" s="40" t="s">
        <v>216</v>
      </c>
      <c r="E112" s="43" t="s">
        <v>99</v>
      </c>
      <c r="F112" s="40" t="s">
        <v>154</v>
      </c>
      <c r="G112" s="184">
        <v>11</v>
      </c>
      <c r="H112" s="40">
        <v>11</v>
      </c>
      <c r="I112" s="40"/>
      <c r="J112" s="40" t="s">
        <v>599</v>
      </c>
      <c r="K112" s="236">
        <v>21</v>
      </c>
      <c r="L112" s="239">
        <v>100</v>
      </c>
      <c r="M112" s="99">
        <f t="shared" si="6"/>
        <v>0.21</v>
      </c>
      <c r="N112" s="40" t="s">
        <v>58</v>
      </c>
      <c r="O112" s="40" t="s">
        <v>76</v>
      </c>
      <c r="P112" s="22" t="s">
        <v>9</v>
      </c>
      <c r="Q112" s="142"/>
    </row>
    <row r="113" spans="1:17">
      <c r="A113" s="43">
        <v>112</v>
      </c>
      <c r="B113" s="22" t="s">
        <v>646</v>
      </c>
      <c r="C113" s="40" t="s">
        <v>647</v>
      </c>
      <c r="D113" s="40" t="s">
        <v>648</v>
      </c>
      <c r="E113" s="43" t="s">
        <v>100</v>
      </c>
      <c r="F113" s="40" t="s">
        <v>154</v>
      </c>
      <c r="G113" s="184">
        <v>11</v>
      </c>
      <c r="H113" s="40">
        <v>11</v>
      </c>
      <c r="I113" s="40"/>
      <c r="J113" s="40" t="s">
        <v>599</v>
      </c>
      <c r="K113" s="236">
        <v>19</v>
      </c>
      <c r="L113" s="239">
        <v>100</v>
      </c>
      <c r="M113" s="99">
        <f t="shared" si="6"/>
        <v>0.19</v>
      </c>
      <c r="N113" s="40" t="s">
        <v>58</v>
      </c>
      <c r="O113" s="40" t="s">
        <v>76</v>
      </c>
      <c r="P113" s="22" t="s">
        <v>9</v>
      </c>
      <c r="Q113" s="142"/>
    </row>
    <row r="114" spans="1:17">
      <c r="A114" s="43">
        <v>113</v>
      </c>
      <c r="B114" s="22" t="s">
        <v>434</v>
      </c>
      <c r="C114" s="40" t="s">
        <v>215</v>
      </c>
      <c r="D114" s="40" t="s">
        <v>357</v>
      </c>
      <c r="E114" s="43" t="s">
        <v>99</v>
      </c>
      <c r="F114" s="40" t="s">
        <v>154</v>
      </c>
      <c r="G114" s="184">
        <v>11</v>
      </c>
      <c r="H114" s="40">
        <v>11</v>
      </c>
      <c r="I114" s="40"/>
      <c r="J114" s="40" t="s">
        <v>599</v>
      </c>
      <c r="K114" s="236">
        <v>17</v>
      </c>
      <c r="L114" s="239">
        <v>100</v>
      </c>
      <c r="M114" s="99">
        <f t="shared" si="6"/>
        <v>0.17</v>
      </c>
      <c r="N114" s="40" t="s">
        <v>58</v>
      </c>
      <c r="O114" s="40" t="s">
        <v>76</v>
      </c>
      <c r="P114" s="22" t="s">
        <v>9</v>
      </c>
      <c r="Q114" s="142"/>
    </row>
    <row r="115" spans="1:17">
      <c r="A115" s="43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I104:I114 I2:I31 I82:I100 I33:I69">
      <formula1>Специализированные_классы</formula1>
    </dataValidation>
    <dataValidation type="list" allowBlank="1" showInputMessage="1" showErrorMessage="1" sqref="J2:J114">
      <formula1>ОВЗ</formula1>
    </dataValidation>
    <dataValidation type="list" allowBlank="1" showInputMessage="1" showErrorMessage="1" sqref="E2:E114">
      <formula1>Пол</formula1>
    </dataValidation>
    <dataValidation type="list" allowBlank="1" showInputMessage="1" showErrorMessage="1" sqref="N2:N114">
      <formula1>Статус</formula1>
    </dataValidation>
    <dataValidation type="list" allowBlank="1" showInputMessage="1" showErrorMessage="1" sqref="O2:O114">
      <formula1>Район</formula1>
    </dataValidation>
    <dataValidation type="list" allowBlank="1" showInputMessage="1" showErrorMessage="1" sqref="F2:F114">
      <formula1>ОУ</formula1>
    </dataValidation>
  </dataValidations>
  <pageMargins left="0.75" right="0.75" top="1" bottom="1" header="0.5" footer="0.5"/>
  <pageSetup paperSize="9" orientation="portrait" r:id="rId1"/>
  <headerFooter alignWithMargins="0"/>
  <cellWatches>
    <cellWatch r="E1"/>
  </cellWatche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9"/>
  <dimension ref="A1:Q52"/>
  <sheetViews>
    <sheetView workbookViewId="0">
      <selection activeCell="D18" sqref="D18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2.28515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435</v>
      </c>
      <c r="C2" s="40" t="s">
        <v>200</v>
      </c>
      <c r="D2" s="40" t="s">
        <v>509</v>
      </c>
      <c r="E2" s="43" t="s">
        <v>100</v>
      </c>
      <c r="F2" s="40" t="s">
        <v>154</v>
      </c>
      <c r="G2" s="184">
        <v>6</v>
      </c>
      <c r="H2" s="40">
        <v>6</v>
      </c>
      <c r="I2" s="40"/>
      <c r="J2" s="40" t="s">
        <v>127</v>
      </c>
      <c r="K2" s="173">
        <v>37</v>
      </c>
      <c r="L2" s="40">
        <v>60</v>
      </c>
      <c r="M2" s="4">
        <f t="shared" ref="M2:M20" si="0">K2/L2</f>
        <v>0.6166666666666667</v>
      </c>
      <c r="N2" s="40" t="s">
        <v>49</v>
      </c>
      <c r="O2" s="40" t="s">
        <v>76</v>
      </c>
      <c r="P2" s="22" t="s">
        <v>16</v>
      </c>
      <c r="Q2" s="142"/>
    </row>
    <row r="3" spans="1:17">
      <c r="A3" s="43">
        <v>2</v>
      </c>
      <c r="B3" s="40" t="s">
        <v>264</v>
      </c>
      <c r="C3" s="40" t="s">
        <v>263</v>
      </c>
      <c r="D3" s="40" t="s">
        <v>233</v>
      </c>
      <c r="E3" s="43" t="s">
        <v>100</v>
      </c>
      <c r="F3" s="40" t="s">
        <v>154</v>
      </c>
      <c r="G3" s="184">
        <v>6</v>
      </c>
      <c r="H3" s="40">
        <v>6</v>
      </c>
      <c r="I3" s="40"/>
      <c r="J3" s="40" t="s">
        <v>127</v>
      </c>
      <c r="K3" s="173">
        <v>24</v>
      </c>
      <c r="L3" s="40">
        <v>60</v>
      </c>
      <c r="M3" s="4">
        <f t="shared" si="0"/>
        <v>0.4</v>
      </c>
      <c r="N3" s="40" t="s">
        <v>50</v>
      </c>
      <c r="O3" s="40" t="s">
        <v>76</v>
      </c>
      <c r="P3" s="22" t="s">
        <v>16</v>
      </c>
      <c r="Q3" s="142"/>
    </row>
    <row r="4" spans="1:17" ht="12.75" customHeight="1">
      <c r="A4" s="43">
        <v>3</v>
      </c>
      <c r="B4" s="22" t="s">
        <v>471</v>
      </c>
      <c r="C4" s="40" t="s">
        <v>227</v>
      </c>
      <c r="D4" s="40" t="s">
        <v>472</v>
      </c>
      <c r="E4" s="43" t="s">
        <v>100</v>
      </c>
      <c r="F4" s="40" t="s">
        <v>154</v>
      </c>
      <c r="G4" s="184">
        <v>6</v>
      </c>
      <c r="H4" s="40">
        <v>6</v>
      </c>
      <c r="I4" s="40"/>
      <c r="J4" s="40" t="s">
        <v>127</v>
      </c>
      <c r="K4" s="173">
        <v>23</v>
      </c>
      <c r="L4" s="40">
        <v>60</v>
      </c>
      <c r="M4" s="4">
        <f t="shared" si="0"/>
        <v>0.38333333333333336</v>
      </c>
      <c r="N4" s="40" t="s">
        <v>58</v>
      </c>
      <c r="O4" s="40" t="s">
        <v>76</v>
      </c>
      <c r="P4" s="22" t="s">
        <v>16</v>
      </c>
      <c r="Q4" s="142"/>
    </row>
    <row r="5" spans="1:17" ht="12.75" customHeight="1">
      <c r="A5" s="43">
        <v>4</v>
      </c>
      <c r="B5" s="22" t="s">
        <v>259</v>
      </c>
      <c r="C5" s="40" t="s">
        <v>258</v>
      </c>
      <c r="D5" s="40" t="s">
        <v>252</v>
      </c>
      <c r="E5" s="43" t="s">
        <v>100</v>
      </c>
      <c r="F5" s="40" t="s">
        <v>154</v>
      </c>
      <c r="G5" s="184">
        <v>6</v>
      </c>
      <c r="H5" s="40">
        <v>6</v>
      </c>
      <c r="I5" s="40"/>
      <c r="J5" s="40" t="s">
        <v>127</v>
      </c>
      <c r="K5" s="173">
        <v>22</v>
      </c>
      <c r="L5" s="40">
        <v>60</v>
      </c>
      <c r="M5" s="4">
        <f t="shared" si="0"/>
        <v>0.36666666666666664</v>
      </c>
      <c r="N5" s="40" t="s">
        <v>58</v>
      </c>
      <c r="O5" s="40" t="s">
        <v>76</v>
      </c>
      <c r="P5" s="22" t="s">
        <v>16</v>
      </c>
      <c r="Q5" s="142"/>
    </row>
    <row r="6" spans="1:17">
      <c r="A6" s="43">
        <v>5</v>
      </c>
      <c r="B6" s="22" t="s">
        <v>480</v>
      </c>
      <c r="C6" s="40" t="s">
        <v>481</v>
      </c>
      <c r="D6" s="40" t="s">
        <v>223</v>
      </c>
      <c r="E6" s="43" t="s">
        <v>100</v>
      </c>
      <c r="F6" s="40" t="s">
        <v>154</v>
      </c>
      <c r="G6" s="184">
        <v>6</v>
      </c>
      <c r="H6" s="40">
        <v>6</v>
      </c>
      <c r="I6" s="40"/>
      <c r="J6" s="40" t="s">
        <v>127</v>
      </c>
      <c r="K6" s="173">
        <v>20</v>
      </c>
      <c r="L6" s="40">
        <v>60</v>
      </c>
      <c r="M6" s="4">
        <f t="shared" si="0"/>
        <v>0.33333333333333331</v>
      </c>
      <c r="N6" s="40" t="s">
        <v>58</v>
      </c>
      <c r="O6" s="40" t="s">
        <v>76</v>
      </c>
      <c r="P6" s="22" t="s">
        <v>16</v>
      </c>
      <c r="Q6" s="142"/>
    </row>
    <row r="7" spans="1:17">
      <c r="A7" s="43">
        <v>6</v>
      </c>
      <c r="B7" s="22" t="s">
        <v>476</v>
      </c>
      <c r="C7" s="40" t="s">
        <v>477</v>
      </c>
      <c r="D7" s="40" t="s">
        <v>235</v>
      </c>
      <c r="E7" s="43" t="s">
        <v>100</v>
      </c>
      <c r="F7" s="40" t="s">
        <v>154</v>
      </c>
      <c r="G7" s="184">
        <v>6</v>
      </c>
      <c r="H7" s="40">
        <v>6</v>
      </c>
      <c r="I7" s="40"/>
      <c r="J7" s="40" t="s">
        <v>127</v>
      </c>
      <c r="K7" s="173">
        <v>17</v>
      </c>
      <c r="L7" s="40">
        <v>60</v>
      </c>
      <c r="M7" s="4">
        <f t="shared" si="0"/>
        <v>0.28333333333333333</v>
      </c>
      <c r="N7" s="40" t="s">
        <v>58</v>
      </c>
      <c r="O7" s="40" t="s">
        <v>76</v>
      </c>
      <c r="P7" s="22" t="s">
        <v>16</v>
      </c>
      <c r="Q7" s="142"/>
    </row>
    <row r="8" spans="1:17" ht="12.75" customHeight="1">
      <c r="A8" s="43">
        <v>7</v>
      </c>
      <c r="B8" s="22" t="s">
        <v>468</v>
      </c>
      <c r="C8" s="40" t="s">
        <v>469</v>
      </c>
      <c r="D8" s="40" t="s">
        <v>210</v>
      </c>
      <c r="E8" s="43" t="s">
        <v>100</v>
      </c>
      <c r="F8" s="40" t="s">
        <v>154</v>
      </c>
      <c r="G8" s="184">
        <v>6</v>
      </c>
      <c r="H8" s="40">
        <v>6</v>
      </c>
      <c r="I8" s="40"/>
      <c r="J8" s="40" t="s">
        <v>127</v>
      </c>
      <c r="K8" s="173">
        <v>14</v>
      </c>
      <c r="L8" s="40">
        <v>60</v>
      </c>
      <c r="M8" s="4">
        <f t="shared" si="0"/>
        <v>0.23333333333333334</v>
      </c>
      <c r="N8" s="40" t="s">
        <v>58</v>
      </c>
      <c r="O8" s="40" t="s">
        <v>76</v>
      </c>
      <c r="P8" s="22" t="s">
        <v>16</v>
      </c>
      <c r="Q8" s="142"/>
    </row>
    <row r="9" spans="1:17">
      <c r="A9" s="43">
        <v>8</v>
      </c>
      <c r="B9" s="22" t="s">
        <v>222</v>
      </c>
      <c r="C9" s="40" t="s">
        <v>289</v>
      </c>
      <c r="D9" s="40" t="s">
        <v>223</v>
      </c>
      <c r="E9" s="43" t="s">
        <v>100</v>
      </c>
      <c r="F9" s="40" t="s">
        <v>154</v>
      </c>
      <c r="G9" s="184">
        <v>7</v>
      </c>
      <c r="H9" s="40">
        <v>7</v>
      </c>
      <c r="I9" s="40"/>
      <c r="J9" s="40" t="s">
        <v>127</v>
      </c>
      <c r="K9" s="173">
        <v>43</v>
      </c>
      <c r="L9" s="40">
        <v>65</v>
      </c>
      <c r="M9" s="4">
        <f t="shared" si="0"/>
        <v>0.66153846153846152</v>
      </c>
      <c r="N9" s="40" t="s">
        <v>58</v>
      </c>
      <c r="O9" s="40" t="s">
        <v>76</v>
      </c>
      <c r="P9" s="22" t="s">
        <v>16</v>
      </c>
      <c r="Q9" s="142"/>
    </row>
    <row r="10" spans="1:17">
      <c r="A10" s="43">
        <v>9</v>
      </c>
      <c r="B10" s="22" t="s">
        <v>300</v>
      </c>
      <c r="C10" s="40" t="s">
        <v>492</v>
      </c>
      <c r="D10" s="40" t="s">
        <v>210</v>
      </c>
      <c r="E10" s="43" t="s">
        <v>100</v>
      </c>
      <c r="F10" s="40" t="s">
        <v>154</v>
      </c>
      <c r="G10" s="184">
        <v>7</v>
      </c>
      <c r="H10" s="40">
        <v>7</v>
      </c>
      <c r="I10" s="40"/>
      <c r="J10" s="40" t="s">
        <v>127</v>
      </c>
      <c r="K10" s="173">
        <v>24</v>
      </c>
      <c r="L10" s="40">
        <v>65</v>
      </c>
      <c r="M10" s="4">
        <f t="shared" si="0"/>
        <v>0.36923076923076925</v>
      </c>
      <c r="N10" s="40" t="s">
        <v>58</v>
      </c>
      <c r="O10" s="40" t="s">
        <v>76</v>
      </c>
      <c r="P10" s="22" t="s">
        <v>16</v>
      </c>
      <c r="Q10" s="142"/>
    </row>
    <row r="11" spans="1:17">
      <c r="A11" s="43">
        <v>10</v>
      </c>
      <c r="B11" s="22" t="s">
        <v>310</v>
      </c>
      <c r="C11" s="40" t="s">
        <v>294</v>
      </c>
      <c r="D11" s="40" t="s">
        <v>223</v>
      </c>
      <c r="E11" s="43" t="s">
        <v>100</v>
      </c>
      <c r="F11" s="40" t="s">
        <v>154</v>
      </c>
      <c r="G11" s="184">
        <v>7</v>
      </c>
      <c r="H11" s="40">
        <v>7</v>
      </c>
      <c r="I11" s="40"/>
      <c r="J11" s="40" t="s">
        <v>127</v>
      </c>
      <c r="K11" s="173">
        <v>15</v>
      </c>
      <c r="L11" s="40">
        <v>65</v>
      </c>
      <c r="M11" s="4">
        <f t="shared" si="0"/>
        <v>0.23076923076923078</v>
      </c>
      <c r="N11" s="40" t="s">
        <v>58</v>
      </c>
      <c r="O11" s="40" t="s">
        <v>76</v>
      </c>
      <c r="P11" s="22" t="s">
        <v>16</v>
      </c>
      <c r="Q11" s="142"/>
    </row>
    <row r="12" spans="1:17">
      <c r="A12" s="43">
        <v>11</v>
      </c>
      <c r="B12" s="22" t="s">
        <v>461</v>
      </c>
      <c r="C12" s="40" t="s">
        <v>289</v>
      </c>
      <c r="D12" s="40" t="s">
        <v>233</v>
      </c>
      <c r="E12" s="43" t="s">
        <v>100</v>
      </c>
      <c r="F12" s="40" t="s">
        <v>154</v>
      </c>
      <c r="G12" s="184">
        <v>8</v>
      </c>
      <c r="H12" s="40">
        <v>8</v>
      </c>
      <c r="I12" s="40"/>
      <c r="J12" s="40" t="s">
        <v>127</v>
      </c>
      <c r="K12" s="173">
        <v>67</v>
      </c>
      <c r="L12" s="40">
        <v>95</v>
      </c>
      <c r="M12" s="4">
        <f t="shared" si="0"/>
        <v>0.70526315789473681</v>
      </c>
      <c r="N12" s="40" t="s">
        <v>49</v>
      </c>
      <c r="O12" s="40" t="s">
        <v>76</v>
      </c>
      <c r="P12" s="22" t="s">
        <v>16</v>
      </c>
      <c r="Q12" s="142"/>
    </row>
    <row r="13" spans="1:17">
      <c r="A13" s="43">
        <v>12</v>
      </c>
      <c r="B13" s="22" t="s">
        <v>529</v>
      </c>
      <c r="C13" s="40" t="s">
        <v>289</v>
      </c>
      <c r="D13" s="40" t="s">
        <v>235</v>
      </c>
      <c r="E13" s="43" t="s">
        <v>100</v>
      </c>
      <c r="F13" s="40" t="s">
        <v>154</v>
      </c>
      <c r="G13" s="184">
        <v>8</v>
      </c>
      <c r="H13" s="40">
        <v>8</v>
      </c>
      <c r="I13" s="40"/>
      <c r="J13" s="40" t="s">
        <v>127</v>
      </c>
      <c r="K13" s="173">
        <v>38</v>
      </c>
      <c r="L13" s="40">
        <v>95</v>
      </c>
      <c r="M13" s="4">
        <f t="shared" si="0"/>
        <v>0.4</v>
      </c>
      <c r="N13" s="40" t="s">
        <v>50</v>
      </c>
      <c r="O13" s="40" t="s">
        <v>76</v>
      </c>
      <c r="P13" s="22" t="s">
        <v>16</v>
      </c>
      <c r="Q13" s="142"/>
    </row>
    <row r="14" spans="1:17">
      <c r="A14" s="43">
        <v>13</v>
      </c>
      <c r="B14" s="22" t="s">
        <v>325</v>
      </c>
      <c r="C14" s="40" t="s">
        <v>420</v>
      </c>
      <c r="D14" s="40" t="s">
        <v>223</v>
      </c>
      <c r="E14" s="43" t="s">
        <v>100</v>
      </c>
      <c r="F14" s="40" t="s">
        <v>154</v>
      </c>
      <c r="G14" s="184">
        <v>8</v>
      </c>
      <c r="H14" s="40">
        <v>8</v>
      </c>
      <c r="I14" s="40"/>
      <c r="J14" s="40" t="s">
        <v>127</v>
      </c>
      <c r="K14" s="173">
        <v>28</v>
      </c>
      <c r="L14" s="40">
        <v>95</v>
      </c>
      <c r="M14" s="4">
        <f t="shared" si="0"/>
        <v>0.29473684210526313</v>
      </c>
      <c r="N14" s="40" t="s">
        <v>58</v>
      </c>
      <c r="O14" s="40" t="s">
        <v>76</v>
      </c>
      <c r="P14" s="22" t="s">
        <v>16</v>
      </c>
      <c r="Q14" s="142"/>
    </row>
    <row r="15" spans="1:17">
      <c r="A15" s="43">
        <v>14</v>
      </c>
      <c r="B15" s="22" t="s">
        <v>530</v>
      </c>
      <c r="C15" s="40" t="s">
        <v>200</v>
      </c>
      <c r="D15" s="40" t="s">
        <v>235</v>
      </c>
      <c r="E15" s="43" t="s">
        <v>100</v>
      </c>
      <c r="F15" s="40" t="s">
        <v>154</v>
      </c>
      <c r="G15" s="184">
        <v>8</v>
      </c>
      <c r="H15" s="40">
        <v>8</v>
      </c>
      <c r="I15" s="40"/>
      <c r="J15" s="40" t="s">
        <v>127</v>
      </c>
      <c r="K15" s="173">
        <v>26</v>
      </c>
      <c r="L15" s="40">
        <v>95</v>
      </c>
      <c r="M15" s="4">
        <f t="shared" si="0"/>
        <v>0.27368421052631581</v>
      </c>
      <c r="N15" s="40" t="s">
        <v>58</v>
      </c>
      <c r="O15" s="40" t="s">
        <v>76</v>
      </c>
      <c r="P15" s="22" t="s">
        <v>16</v>
      </c>
      <c r="Q15" s="142"/>
    </row>
    <row r="16" spans="1:17">
      <c r="A16" s="43">
        <v>15</v>
      </c>
      <c r="B16" s="45" t="s">
        <v>384</v>
      </c>
      <c r="C16" s="46" t="s">
        <v>531</v>
      </c>
      <c r="D16" s="46" t="s">
        <v>386</v>
      </c>
      <c r="E16" s="43" t="s">
        <v>100</v>
      </c>
      <c r="F16" s="40" t="s">
        <v>154</v>
      </c>
      <c r="G16" s="184">
        <v>8</v>
      </c>
      <c r="H16" s="40">
        <v>8</v>
      </c>
      <c r="I16" s="5"/>
      <c r="J16" s="40" t="s">
        <v>127</v>
      </c>
      <c r="K16" s="173">
        <v>25</v>
      </c>
      <c r="L16" s="40">
        <v>95</v>
      </c>
      <c r="M16" s="4">
        <f t="shared" si="0"/>
        <v>0.26315789473684209</v>
      </c>
      <c r="N16" s="40" t="s">
        <v>58</v>
      </c>
      <c r="O16" s="40" t="s">
        <v>76</v>
      </c>
      <c r="P16" s="22" t="s">
        <v>16</v>
      </c>
      <c r="Q16" s="142"/>
    </row>
    <row r="17" spans="1:17">
      <c r="A17" s="43">
        <v>16</v>
      </c>
      <c r="B17" s="45" t="s">
        <v>375</v>
      </c>
      <c r="C17" s="46" t="s">
        <v>238</v>
      </c>
      <c r="D17" s="46" t="s">
        <v>198</v>
      </c>
      <c r="E17" s="43" t="s">
        <v>100</v>
      </c>
      <c r="F17" s="40" t="s">
        <v>154</v>
      </c>
      <c r="G17" s="184">
        <v>8</v>
      </c>
      <c r="H17" s="40">
        <v>8</v>
      </c>
      <c r="I17" s="5"/>
      <c r="J17" s="40" t="s">
        <v>127</v>
      </c>
      <c r="K17" s="173">
        <v>19</v>
      </c>
      <c r="L17" s="40">
        <v>95</v>
      </c>
      <c r="M17" s="4">
        <f t="shared" si="0"/>
        <v>0.2</v>
      </c>
      <c r="N17" s="40" t="s">
        <v>58</v>
      </c>
      <c r="O17" s="40" t="s">
        <v>76</v>
      </c>
      <c r="P17" s="22" t="s">
        <v>16</v>
      </c>
      <c r="Q17" s="142"/>
    </row>
    <row r="18" spans="1:17">
      <c r="A18" s="3"/>
      <c r="B18" s="45"/>
      <c r="C18" s="46"/>
      <c r="D18" s="46"/>
      <c r="E18" s="180"/>
      <c r="F18" s="40"/>
      <c r="G18" s="140"/>
      <c r="H18" s="22"/>
      <c r="I18" s="5"/>
      <c r="J18" s="40"/>
      <c r="K18" s="5"/>
      <c r="L18" s="13"/>
      <c r="M18" s="4" t="e">
        <f t="shared" si="0"/>
        <v>#DIV/0!</v>
      </c>
      <c r="N18" s="38"/>
      <c r="O18" s="40" t="s">
        <v>76</v>
      </c>
      <c r="P18" s="22" t="s">
        <v>16</v>
      </c>
      <c r="Q18" s="142"/>
    </row>
    <row r="19" spans="1:17">
      <c r="A19" s="109"/>
      <c r="B19" s="131"/>
      <c r="C19" s="116"/>
      <c r="D19" s="116"/>
      <c r="E19" s="181"/>
      <c r="F19" s="40"/>
      <c r="G19" s="141"/>
      <c r="H19" s="22"/>
      <c r="I19" s="111"/>
      <c r="J19" s="103"/>
      <c r="K19" s="111"/>
      <c r="L19" s="117"/>
      <c r="M19" s="4" t="e">
        <f t="shared" si="0"/>
        <v>#DIV/0!</v>
      </c>
      <c r="N19" s="113"/>
      <c r="O19" s="40" t="s">
        <v>76</v>
      </c>
      <c r="P19" s="108" t="s">
        <v>16</v>
      </c>
      <c r="Q19" s="142"/>
    </row>
    <row r="20" spans="1:17">
      <c r="A20" s="3"/>
      <c r="B20" s="22"/>
      <c r="C20" s="22"/>
      <c r="D20" s="22"/>
      <c r="E20" s="178"/>
      <c r="F20" s="40"/>
      <c r="G20" s="190"/>
      <c r="H20" s="22"/>
      <c r="I20" s="47"/>
      <c r="J20" s="40"/>
      <c r="K20" s="171"/>
      <c r="L20" s="13"/>
      <c r="M20" s="4" t="e">
        <f t="shared" si="0"/>
        <v>#DIV/0!</v>
      </c>
      <c r="N20" s="3"/>
      <c r="O20" s="40" t="s">
        <v>76</v>
      </c>
      <c r="P20" s="22" t="s">
        <v>16</v>
      </c>
      <c r="Q20" s="142"/>
    </row>
    <row r="21" spans="1:17">
      <c r="A21" s="72"/>
      <c r="B21" s="26"/>
      <c r="C21" s="26"/>
      <c r="D21" s="26"/>
      <c r="E21" s="73"/>
      <c r="F21" s="76"/>
      <c r="G21" s="26"/>
      <c r="H21" s="26"/>
      <c r="I21" s="52"/>
      <c r="J21" s="76"/>
      <c r="K21" s="52"/>
      <c r="L21" s="81"/>
      <c r="M21" s="74"/>
      <c r="N21" s="72"/>
      <c r="O21" s="172"/>
      <c r="P21" s="26"/>
    </row>
    <row r="22" spans="1:17">
      <c r="A22" s="72"/>
      <c r="B22" s="26"/>
      <c r="C22" s="26"/>
      <c r="D22" s="26"/>
      <c r="E22" s="73"/>
      <c r="F22" s="76"/>
      <c r="G22" s="26"/>
      <c r="H22" s="26"/>
      <c r="I22" s="52"/>
      <c r="J22" s="76"/>
      <c r="K22" s="52"/>
      <c r="L22" s="81"/>
      <c r="M22" s="74"/>
      <c r="N22" s="72"/>
      <c r="O22" s="172"/>
      <c r="P22" s="26"/>
    </row>
    <row r="23" spans="1:17">
      <c r="A23" s="72"/>
      <c r="B23" s="26"/>
      <c r="C23" s="26"/>
      <c r="D23" s="26"/>
      <c r="E23" s="73"/>
      <c r="F23" s="76"/>
      <c r="G23" s="26"/>
      <c r="H23" s="26"/>
      <c r="I23" s="52"/>
      <c r="J23" s="76"/>
      <c r="K23" s="52"/>
      <c r="L23" s="81"/>
      <c r="M23" s="74"/>
      <c r="N23" s="72"/>
      <c r="O23" s="172"/>
      <c r="P23" s="26"/>
    </row>
    <row r="24" spans="1:17">
      <c r="A24" s="72"/>
      <c r="B24" s="26"/>
      <c r="C24" s="26"/>
      <c r="D24" s="26"/>
      <c r="E24" s="73"/>
      <c r="F24" s="76"/>
      <c r="G24" s="26"/>
      <c r="H24" s="26"/>
      <c r="I24" s="52"/>
      <c r="J24" s="76"/>
      <c r="K24" s="52"/>
      <c r="L24" s="81"/>
      <c r="M24" s="74"/>
      <c r="N24" s="72"/>
      <c r="O24" s="172"/>
      <c r="P24" s="26"/>
    </row>
    <row r="25" spans="1:17">
      <c r="A25" s="72"/>
      <c r="B25" s="26"/>
      <c r="C25" s="26"/>
      <c r="D25" s="26"/>
      <c r="E25" s="73"/>
      <c r="F25" s="76"/>
      <c r="G25" s="26"/>
      <c r="H25" s="26"/>
      <c r="I25" s="52"/>
      <c r="J25" s="76"/>
      <c r="K25" s="52"/>
      <c r="L25" s="81"/>
      <c r="M25" s="74"/>
      <c r="N25" s="72"/>
      <c r="O25" s="172"/>
      <c r="P25" s="26"/>
    </row>
    <row r="26" spans="1:17">
      <c r="A26" s="72"/>
      <c r="B26" s="26"/>
      <c r="C26" s="26"/>
      <c r="D26" s="26"/>
      <c r="E26" s="73"/>
      <c r="F26" s="76"/>
      <c r="G26" s="26"/>
      <c r="H26" s="26"/>
      <c r="I26" s="52"/>
      <c r="J26" s="76"/>
      <c r="K26" s="52"/>
      <c r="L26" s="81"/>
      <c r="M26" s="74"/>
      <c r="N26" s="72"/>
      <c r="O26" s="172"/>
      <c r="P26" s="26"/>
    </row>
    <row r="27" spans="1:17">
      <c r="A27" s="72"/>
      <c r="B27" s="26"/>
      <c r="C27" s="26"/>
      <c r="D27" s="26"/>
      <c r="E27" s="73"/>
      <c r="F27" s="76"/>
      <c r="G27" s="26"/>
      <c r="H27" s="26"/>
      <c r="I27" s="52"/>
      <c r="J27" s="76"/>
      <c r="K27" s="52"/>
      <c r="L27" s="81"/>
      <c r="M27" s="74"/>
      <c r="N27" s="72"/>
      <c r="O27" s="172"/>
      <c r="P27" s="26"/>
    </row>
    <row r="28" spans="1:17">
      <c r="A28" s="72"/>
      <c r="B28" s="26"/>
      <c r="C28" s="26"/>
      <c r="D28" s="26"/>
      <c r="E28" s="73"/>
      <c r="F28" s="76"/>
      <c r="G28" s="26"/>
      <c r="H28" s="26"/>
      <c r="I28" s="52"/>
      <c r="J28" s="76"/>
      <c r="K28" s="52"/>
      <c r="L28" s="81"/>
      <c r="M28" s="74"/>
      <c r="N28" s="72"/>
      <c r="O28" s="172"/>
      <c r="P28" s="26"/>
    </row>
    <row r="29" spans="1:17">
      <c r="A29" s="72"/>
      <c r="B29" s="26"/>
      <c r="C29" s="26"/>
      <c r="D29" s="26"/>
      <c r="E29" s="73"/>
      <c r="F29" s="76"/>
      <c r="G29" s="26"/>
      <c r="H29" s="26"/>
      <c r="I29" s="52"/>
      <c r="J29" s="76"/>
      <c r="K29" s="52"/>
      <c r="L29" s="81"/>
      <c r="M29" s="74"/>
      <c r="N29" s="72"/>
      <c r="O29" s="172"/>
      <c r="P29" s="26"/>
    </row>
    <row r="30" spans="1:17">
      <c r="A30" s="72"/>
      <c r="B30" s="26"/>
      <c r="C30" s="26"/>
      <c r="D30" s="26"/>
      <c r="E30" s="73"/>
      <c r="F30" s="76"/>
      <c r="G30" s="26"/>
      <c r="H30" s="26"/>
      <c r="I30" s="52"/>
      <c r="J30" s="76"/>
      <c r="K30" s="52"/>
      <c r="L30" s="81"/>
      <c r="M30" s="74"/>
      <c r="N30" s="72"/>
      <c r="O30" s="172"/>
      <c r="P30" s="26"/>
    </row>
    <row r="31" spans="1:17">
      <c r="A31" s="72"/>
      <c r="B31" s="26"/>
      <c r="C31" s="26"/>
      <c r="D31" s="26"/>
      <c r="E31" s="73"/>
      <c r="F31" s="76"/>
      <c r="G31" s="26"/>
      <c r="H31" s="26"/>
      <c r="I31" s="52"/>
      <c r="J31" s="76"/>
      <c r="K31" s="52"/>
      <c r="L31" s="81"/>
      <c r="M31" s="74"/>
      <c r="N31" s="72"/>
      <c r="O31" s="172"/>
      <c r="P31" s="26"/>
    </row>
    <row r="32" spans="1:17">
      <c r="A32" s="72"/>
      <c r="B32" s="26"/>
      <c r="C32" s="26"/>
      <c r="D32" s="26"/>
      <c r="E32" s="73"/>
      <c r="F32" s="76"/>
      <c r="G32" s="26"/>
      <c r="H32" s="26"/>
      <c r="I32" s="52"/>
      <c r="J32" s="76"/>
      <c r="K32" s="52"/>
      <c r="L32" s="81"/>
      <c r="M32" s="74"/>
      <c r="N32" s="72"/>
      <c r="O32" s="172"/>
      <c r="P32" s="26"/>
    </row>
    <row r="33" spans="1:16">
      <c r="A33" s="72"/>
      <c r="B33" s="26"/>
      <c r="C33" s="26"/>
      <c r="D33" s="26"/>
      <c r="E33" s="73"/>
      <c r="F33" s="76"/>
      <c r="G33" s="26"/>
      <c r="H33" s="26"/>
      <c r="I33" s="52"/>
      <c r="J33" s="76"/>
      <c r="K33" s="52"/>
      <c r="L33" s="81"/>
      <c r="M33" s="74"/>
      <c r="N33" s="72"/>
      <c r="O33" s="172"/>
      <c r="P33" s="26"/>
    </row>
    <row r="34" spans="1:16">
      <c r="C34" s="26"/>
      <c r="D34" s="26"/>
      <c r="E34" s="73"/>
      <c r="F34" s="76"/>
      <c r="G34" s="26"/>
      <c r="H34" s="26"/>
      <c r="I34" s="52"/>
      <c r="J34" s="76"/>
      <c r="K34" s="52"/>
      <c r="L34" s="81"/>
      <c r="M34" s="74"/>
      <c r="N34" s="72"/>
      <c r="O34" s="172"/>
      <c r="P34" s="26"/>
    </row>
    <row r="35" spans="1:16">
      <c r="C35" s="26"/>
      <c r="D35" s="26"/>
      <c r="E35" s="73"/>
      <c r="F35" s="76"/>
      <c r="G35" s="26"/>
      <c r="H35" s="26"/>
      <c r="I35" s="52"/>
      <c r="J35" s="76"/>
      <c r="K35" s="52"/>
      <c r="L35" s="81"/>
      <c r="M35" s="74"/>
      <c r="N35" s="72"/>
      <c r="O35" s="172"/>
      <c r="P35" s="26"/>
    </row>
    <row r="36" spans="1:16">
      <c r="C36" s="26"/>
      <c r="D36" s="26"/>
      <c r="E36" s="73"/>
      <c r="F36" s="76"/>
      <c r="G36" s="26"/>
      <c r="H36" s="26"/>
      <c r="I36" s="52"/>
      <c r="J36" s="76"/>
      <c r="K36" s="52"/>
      <c r="L36" s="81"/>
      <c r="M36" s="74"/>
      <c r="N36" s="72"/>
      <c r="O36" s="172"/>
      <c r="P36" s="26"/>
    </row>
    <row r="37" spans="1:16">
      <c r="C37" s="26"/>
      <c r="D37" s="26"/>
      <c r="E37" s="73"/>
      <c r="F37" s="76"/>
      <c r="G37" s="26"/>
      <c r="H37" s="26"/>
      <c r="I37" s="52"/>
      <c r="J37" s="76"/>
      <c r="K37" s="52"/>
      <c r="L37" s="81"/>
      <c r="M37" s="74"/>
      <c r="N37" s="72"/>
      <c r="O37" s="172"/>
      <c r="P37" s="26"/>
    </row>
    <row r="38" spans="1:16">
      <c r="C38" s="26"/>
      <c r="D38" s="26"/>
      <c r="E38" s="73"/>
      <c r="F38" s="76"/>
      <c r="G38" s="26"/>
      <c r="H38" s="26"/>
      <c r="I38" s="52"/>
      <c r="J38" s="76"/>
      <c r="K38" s="52"/>
      <c r="L38" s="81"/>
      <c r="M38" s="74"/>
      <c r="N38" s="72"/>
      <c r="O38" s="172"/>
      <c r="P38" s="26"/>
    </row>
    <row r="39" spans="1:16">
      <c r="C39" s="26"/>
      <c r="D39" s="26"/>
      <c r="E39" s="73"/>
      <c r="F39" s="76"/>
      <c r="G39" s="26"/>
      <c r="H39" s="26"/>
      <c r="I39" s="52"/>
      <c r="J39" s="76"/>
      <c r="K39" s="52"/>
      <c r="L39" s="81"/>
      <c r="M39" s="74"/>
      <c r="N39" s="72"/>
      <c r="O39" s="172"/>
      <c r="P39" s="26"/>
    </row>
    <row r="40" spans="1:16">
      <c r="C40" s="26"/>
      <c r="D40" s="26"/>
      <c r="E40" s="73"/>
      <c r="F40" s="76"/>
      <c r="G40" s="26"/>
      <c r="H40" s="26"/>
      <c r="I40" s="52"/>
      <c r="J40" s="76"/>
      <c r="K40" s="52"/>
      <c r="L40" s="81"/>
      <c r="M40" s="74"/>
      <c r="N40" s="72"/>
      <c r="O40" s="172"/>
      <c r="P40" s="26"/>
    </row>
    <row r="41" spans="1:16">
      <c r="C41" s="26"/>
      <c r="D41" s="26"/>
      <c r="E41" s="73"/>
      <c r="F41" s="76"/>
      <c r="G41" s="26"/>
      <c r="H41" s="26"/>
      <c r="I41" s="52"/>
      <c r="J41" s="76"/>
      <c r="K41" s="52"/>
      <c r="L41" s="81"/>
      <c r="M41" s="74"/>
      <c r="N41" s="72"/>
      <c r="O41" s="172"/>
      <c r="P41" s="26"/>
    </row>
    <row r="42" spans="1:16">
      <c r="C42" s="26"/>
      <c r="D42" s="26"/>
      <c r="E42" s="73"/>
      <c r="F42" s="76"/>
      <c r="G42" s="26"/>
      <c r="H42" s="26"/>
      <c r="I42" s="52"/>
      <c r="J42" s="76"/>
      <c r="K42" s="52"/>
      <c r="L42" s="81"/>
      <c r="M42" s="74"/>
      <c r="N42" s="72"/>
      <c r="O42" s="172"/>
      <c r="P42" s="26"/>
    </row>
    <row r="43" spans="1:16">
      <c r="C43" s="26"/>
      <c r="D43" s="26"/>
      <c r="E43" s="73"/>
      <c r="F43" s="76"/>
      <c r="G43" s="26"/>
      <c r="H43" s="26"/>
      <c r="I43" s="52"/>
      <c r="J43" s="76"/>
      <c r="K43" s="52"/>
      <c r="L43" s="81"/>
      <c r="M43" s="74"/>
      <c r="N43" s="72"/>
      <c r="O43" s="172"/>
      <c r="P43" s="26"/>
    </row>
    <row r="44" spans="1:16">
      <c r="C44" s="26"/>
      <c r="D44" s="26"/>
      <c r="E44" s="73"/>
      <c r="F44" s="76"/>
      <c r="G44" s="26"/>
      <c r="H44" s="26"/>
      <c r="I44" s="52"/>
      <c r="J44" s="76"/>
      <c r="K44" s="52"/>
      <c r="L44" s="81"/>
      <c r="M44" s="74"/>
      <c r="N44" s="72"/>
      <c r="O44" s="172"/>
      <c r="P44" s="26"/>
    </row>
    <row r="45" spans="1:16">
      <c r="C45" s="26"/>
      <c r="D45" s="26"/>
      <c r="E45" s="73"/>
      <c r="F45" s="76"/>
      <c r="G45" s="26"/>
      <c r="H45" s="26"/>
      <c r="I45" s="52"/>
      <c r="J45" s="76"/>
      <c r="K45" s="52"/>
      <c r="L45" s="81"/>
      <c r="M45" s="74"/>
      <c r="N45" s="72"/>
      <c r="O45" s="172"/>
      <c r="P45" s="26"/>
    </row>
    <row r="46" spans="1:16">
      <c r="C46" s="26"/>
      <c r="D46" s="26"/>
      <c r="E46" s="73"/>
      <c r="F46" s="76"/>
      <c r="G46" s="26"/>
      <c r="H46" s="26"/>
      <c r="I46" s="52"/>
      <c r="J46" s="76"/>
      <c r="K46" s="52"/>
      <c r="L46" s="81"/>
      <c r="M46" s="74"/>
      <c r="N46" s="72"/>
      <c r="O46" s="172"/>
      <c r="P46" s="26"/>
    </row>
    <row r="47" spans="1:16">
      <c r="C47" s="26"/>
      <c r="D47" s="26"/>
      <c r="E47" s="73"/>
      <c r="F47" s="76"/>
      <c r="G47" s="26"/>
      <c r="H47" s="26"/>
      <c r="I47" s="52"/>
      <c r="J47" s="76"/>
      <c r="K47" s="52"/>
      <c r="L47" s="81"/>
      <c r="M47" s="74"/>
      <c r="N47" s="72"/>
      <c r="O47" s="172"/>
      <c r="P47" s="26"/>
    </row>
    <row r="48" spans="1:16">
      <c r="C48" s="26"/>
      <c r="D48" s="26"/>
      <c r="E48" s="73"/>
      <c r="F48" s="76"/>
      <c r="G48" s="26"/>
      <c r="H48" s="26"/>
      <c r="I48" s="52"/>
      <c r="J48" s="76"/>
      <c r="K48" s="52"/>
      <c r="L48" s="81"/>
      <c r="M48" s="74"/>
      <c r="N48" s="72"/>
      <c r="O48" s="172"/>
      <c r="P48" s="26"/>
    </row>
    <row r="49" spans="3:16">
      <c r="C49" s="26"/>
      <c r="D49" s="26"/>
      <c r="E49" s="73"/>
      <c r="F49" s="76"/>
      <c r="G49" s="26"/>
      <c r="H49" s="26"/>
      <c r="I49" s="52"/>
      <c r="J49" s="76"/>
      <c r="K49" s="52"/>
      <c r="L49" s="81"/>
      <c r="M49" s="74"/>
      <c r="N49" s="72"/>
      <c r="O49" s="172"/>
      <c r="P49" s="26"/>
    </row>
    <row r="50" spans="3:16">
      <c r="C50" s="26"/>
      <c r="D50" s="26"/>
      <c r="E50" s="73"/>
      <c r="F50" s="76"/>
      <c r="G50" s="26"/>
      <c r="H50" s="26"/>
      <c r="I50" s="52"/>
      <c r="J50" s="76"/>
      <c r="K50" s="52"/>
      <c r="L50" s="81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17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3"/>
  <dimension ref="A1:Q52"/>
  <sheetViews>
    <sheetView workbookViewId="0">
      <selection activeCell="N2" sqref="N2:N5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1.710937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70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22" t="s">
        <v>412</v>
      </c>
      <c r="C2" s="22" t="s">
        <v>413</v>
      </c>
      <c r="D2" s="22" t="s">
        <v>235</v>
      </c>
      <c r="E2" s="43" t="s">
        <v>100</v>
      </c>
      <c r="F2" s="40" t="s">
        <v>154</v>
      </c>
      <c r="G2" s="184">
        <v>10</v>
      </c>
      <c r="H2" s="40">
        <v>10</v>
      </c>
      <c r="I2" s="40"/>
      <c r="J2" s="40" t="s">
        <v>127</v>
      </c>
      <c r="K2" s="173">
        <v>9</v>
      </c>
      <c r="L2" s="40">
        <v>50</v>
      </c>
      <c r="M2" s="4">
        <f t="shared" ref="M2:M20" si="0">K2/L2</f>
        <v>0.18</v>
      </c>
      <c r="N2" s="40" t="s">
        <v>58</v>
      </c>
      <c r="O2" s="40" t="s">
        <v>76</v>
      </c>
      <c r="P2" s="22" t="s">
        <v>11</v>
      </c>
      <c r="Q2" s="142"/>
    </row>
    <row r="3" spans="1:17">
      <c r="A3" s="43">
        <v>2</v>
      </c>
      <c r="B3" s="40" t="s">
        <v>532</v>
      </c>
      <c r="C3" s="40" t="s">
        <v>329</v>
      </c>
      <c r="D3" s="40" t="s">
        <v>533</v>
      </c>
      <c r="E3" s="43" t="s">
        <v>99</v>
      </c>
      <c r="F3" s="40" t="s">
        <v>154</v>
      </c>
      <c r="G3" s="184">
        <v>10</v>
      </c>
      <c r="H3" s="40">
        <v>10</v>
      </c>
      <c r="I3" s="40"/>
      <c r="J3" s="40" t="s">
        <v>127</v>
      </c>
      <c r="K3" s="173">
        <v>2</v>
      </c>
      <c r="L3" s="40">
        <v>50</v>
      </c>
      <c r="M3" s="4">
        <f t="shared" si="0"/>
        <v>0.04</v>
      </c>
      <c r="N3" s="40" t="s">
        <v>58</v>
      </c>
      <c r="O3" s="40" t="s">
        <v>76</v>
      </c>
      <c r="P3" s="22" t="s">
        <v>11</v>
      </c>
      <c r="Q3" s="142"/>
    </row>
    <row r="4" spans="1:17">
      <c r="A4" s="43">
        <v>3</v>
      </c>
      <c r="B4" s="22" t="s">
        <v>430</v>
      </c>
      <c r="C4" s="40" t="s">
        <v>431</v>
      </c>
      <c r="D4" s="40" t="s">
        <v>246</v>
      </c>
      <c r="E4" s="43" t="s">
        <v>99</v>
      </c>
      <c r="F4" s="40" t="s">
        <v>154</v>
      </c>
      <c r="G4" s="184">
        <v>11</v>
      </c>
      <c r="H4" s="40">
        <v>11</v>
      </c>
      <c r="I4" s="40"/>
      <c r="J4" s="40" t="s">
        <v>127</v>
      </c>
      <c r="K4" s="173">
        <v>16</v>
      </c>
      <c r="L4" s="40">
        <v>50</v>
      </c>
      <c r="M4" s="4">
        <f t="shared" si="0"/>
        <v>0.32</v>
      </c>
      <c r="N4" s="40" t="s">
        <v>58</v>
      </c>
      <c r="O4" s="40" t="s">
        <v>76</v>
      </c>
      <c r="P4" s="22" t="s">
        <v>11</v>
      </c>
      <c r="Q4" s="142"/>
    </row>
    <row r="5" spans="1:17">
      <c r="A5" s="43">
        <v>4</v>
      </c>
      <c r="B5" s="22" t="s">
        <v>349</v>
      </c>
      <c r="C5" s="40" t="s">
        <v>350</v>
      </c>
      <c r="D5" s="40" t="s">
        <v>216</v>
      </c>
      <c r="E5" s="43" t="s">
        <v>99</v>
      </c>
      <c r="F5" s="40" t="s">
        <v>154</v>
      </c>
      <c r="G5" s="184">
        <v>11</v>
      </c>
      <c r="H5" s="40">
        <v>11</v>
      </c>
      <c r="I5" s="40"/>
      <c r="J5" s="40" t="s">
        <v>127</v>
      </c>
      <c r="K5" s="173">
        <v>15</v>
      </c>
      <c r="L5" s="40">
        <v>50</v>
      </c>
      <c r="M5" s="4">
        <f t="shared" si="0"/>
        <v>0.3</v>
      </c>
      <c r="N5" s="40" t="s">
        <v>58</v>
      </c>
      <c r="O5" s="40" t="s">
        <v>76</v>
      </c>
      <c r="P5" s="22" t="s">
        <v>11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11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11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11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11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11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11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11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11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11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11</v>
      </c>
      <c r="Q15" s="142"/>
    </row>
    <row r="16" spans="1:17">
      <c r="A16" s="3"/>
      <c r="B16" s="3"/>
      <c r="C16" s="3"/>
      <c r="D16" s="3"/>
      <c r="E16" s="178"/>
      <c r="F16" s="40"/>
      <c r="G16" s="50"/>
      <c r="H16" s="3"/>
      <c r="I16" s="98"/>
      <c r="J16" s="40"/>
      <c r="K16" s="5"/>
      <c r="L16" s="3"/>
      <c r="M16" s="4" t="e">
        <f t="shared" si="0"/>
        <v>#DIV/0!</v>
      </c>
      <c r="N16" s="38"/>
      <c r="O16" s="40" t="s">
        <v>76</v>
      </c>
      <c r="P16" s="22" t="s">
        <v>11</v>
      </c>
      <c r="Q16" s="142"/>
    </row>
    <row r="17" spans="1:17">
      <c r="A17" s="3"/>
      <c r="B17" s="3"/>
      <c r="C17" s="3"/>
      <c r="D17" s="3"/>
      <c r="E17" s="178"/>
      <c r="F17" s="40"/>
      <c r="G17" s="50"/>
      <c r="H17" s="3"/>
      <c r="I17" s="98"/>
      <c r="J17" s="40"/>
      <c r="K17" s="5"/>
      <c r="L17" s="3"/>
      <c r="M17" s="4" t="e">
        <f t="shared" si="0"/>
        <v>#DIV/0!</v>
      </c>
      <c r="N17" s="38"/>
      <c r="O17" s="40" t="s">
        <v>76</v>
      </c>
      <c r="P17" s="22" t="s">
        <v>11</v>
      </c>
      <c r="Q17" s="142"/>
    </row>
    <row r="18" spans="1:17">
      <c r="A18" s="3"/>
      <c r="B18" s="3"/>
      <c r="C18" s="3"/>
      <c r="D18" s="3"/>
      <c r="E18" s="178"/>
      <c r="F18" s="40"/>
      <c r="G18" s="50"/>
      <c r="H18" s="3"/>
      <c r="I18" s="98"/>
      <c r="J18" s="40"/>
      <c r="K18" s="5"/>
      <c r="L18" s="3"/>
      <c r="M18" s="4" t="e">
        <f t="shared" si="0"/>
        <v>#DIV/0!</v>
      </c>
      <c r="N18" s="38"/>
      <c r="O18" s="40" t="s">
        <v>76</v>
      </c>
      <c r="P18" s="22" t="s">
        <v>11</v>
      </c>
      <c r="Q18" s="142"/>
    </row>
    <row r="19" spans="1:17">
      <c r="A19" s="109"/>
      <c r="B19" s="109"/>
      <c r="C19" s="109"/>
      <c r="D19" s="109"/>
      <c r="E19" s="179"/>
      <c r="F19" s="40"/>
      <c r="G19" s="189"/>
      <c r="H19" s="3"/>
      <c r="I19" s="115"/>
      <c r="J19" s="103"/>
      <c r="K19" s="111"/>
      <c r="L19" s="109"/>
      <c r="M19" s="4" t="e">
        <f t="shared" si="0"/>
        <v>#DIV/0!</v>
      </c>
      <c r="N19" s="113"/>
      <c r="O19" s="40" t="s">
        <v>76</v>
      </c>
      <c r="P19" s="108" t="s">
        <v>11</v>
      </c>
      <c r="Q19" s="142"/>
    </row>
    <row r="20" spans="1:17">
      <c r="A20" s="3"/>
      <c r="B20" s="3"/>
      <c r="C20" s="3"/>
      <c r="D20" s="3"/>
      <c r="E20" s="178"/>
      <c r="F20" s="40"/>
      <c r="G20" s="50"/>
      <c r="H20" s="3"/>
      <c r="I20" s="98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11</v>
      </c>
      <c r="Q20" s="142"/>
    </row>
    <row r="21" spans="1:17">
      <c r="A21" s="72"/>
      <c r="B21" s="72"/>
      <c r="C21" s="72"/>
      <c r="D21" s="72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  <c r="P21" s="26"/>
    </row>
    <row r="22" spans="1:17">
      <c r="A22" s="72"/>
      <c r="B22" s="72"/>
      <c r="C22" s="72"/>
      <c r="D22" s="72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  <c r="P22" s="26"/>
    </row>
    <row r="23" spans="1:17">
      <c r="A23" s="72"/>
      <c r="B23" s="72"/>
      <c r="C23" s="72"/>
      <c r="D23" s="72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  <c r="P23" s="26"/>
    </row>
    <row r="24" spans="1:17">
      <c r="A24" s="72"/>
      <c r="B24" s="72"/>
      <c r="C24" s="72"/>
      <c r="D24" s="72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  <c r="P24" s="26"/>
    </row>
    <row r="25" spans="1:17">
      <c r="A25" s="72"/>
      <c r="B25" s="72"/>
      <c r="C25" s="72"/>
      <c r="D25" s="72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  <c r="P25" s="26"/>
    </row>
    <row r="26" spans="1:17">
      <c r="A26" s="72"/>
      <c r="B26" s="72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2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2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3"/>
  <dimension ref="A1:Q52"/>
  <sheetViews>
    <sheetView workbookViewId="0">
      <selection activeCell="N14" sqref="N14:N15"/>
    </sheetView>
  </sheetViews>
  <sheetFormatPr defaultRowHeight="12.75"/>
  <cols>
    <col min="1" max="1" width="6.28515625" style="20" customWidth="1"/>
    <col min="2" max="2" width="16.7109375" style="20" customWidth="1"/>
    <col min="3" max="3" width="14.7109375" style="20" customWidth="1"/>
    <col min="4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9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534</v>
      </c>
      <c r="C2" s="40" t="s">
        <v>200</v>
      </c>
      <c r="D2" s="40" t="s">
        <v>396</v>
      </c>
      <c r="E2" s="43" t="s">
        <v>100</v>
      </c>
      <c r="F2" s="40" t="s">
        <v>154</v>
      </c>
      <c r="G2" s="184">
        <v>10</v>
      </c>
      <c r="H2" s="40">
        <v>10</v>
      </c>
      <c r="I2" s="40"/>
      <c r="J2" s="40" t="s">
        <v>127</v>
      </c>
      <c r="K2" s="173">
        <v>62</v>
      </c>
      <c r="L2" s="40">
        <v>80</v>
      </c>
      <c r="M2" s="4">
        <f t="shared" ref="M2:M20" si="0">K2/L2</f>
        <v>0.77500000000000002</v>
      </c>
      <c r="N2" s="40" t="s">
        <v>49</v>
      </c>
      <c r="O2" s="40" t="s">
        <v>76</v>
      </c>
      <c r="P2" s="22" t="s">
        <v>20</v>
      </c>
      <c r="Q2" s="142"/>
    </row>
    <row r="3" spans="1:17">
      <c r="A3" s="43">
        <v>2</v>
      </c>
      <c r="B3" s="22" t="s">
        <v>540</v>
      </c>
      <c r="C3" s="22" t="s">
        <v>326</v>
      </c>
      <c r="D3" s="22" t="s">
        <v>216</v>
      </c>
      <c r="E3" s="43" t="s">
        <v>99</v>
      </c>
      <c r="F3" s="40" t="s">
        <v>154</v>
      </c>
      <c r="G3" s="184">
        <v>10</v>
      </c>
      <c r="H3" s="40">
        <v>10</v>
      </c>
      <c r="I3" s="40"/>
      <c r="J3" s="40" t="s">
        <v>127</v>
      </c>
      <c r="K3" s="173">
        <v>32</v>
      </c>
      <c r="L3" s="40">
        <v>80</v>
      </c>
      <c r="M3" s="4">
        <f t="shared" si="0"/>
        <v>0.4</v>
      </c>
      <c r="N3" s="40" t="s">
        <v>50</v>
      </c>
      <c r="O3" s="40" t="s">
        <v>76</v>
      </c>
      <c r="P3" s="22" t="s">
        <v>20</v>
      </c>
      <c r="Q3" s="142"/>
    </row>
    <row r="4" spans="1:17" ht="12.75" customHeight="1">
      <c r="A4" s="43">
        <v>3</v>
      </c>
      <c r="B4" s="40" t="s">
        <v>523</v>
      </c>
      <c r="C4" s="40" t="s">
        <v>380</v>
      </c>
      <c r="D4" s="40" t="s">
        <v>220</v>
      </c>
      <c r="E4" s="43" t="s">
        <v>100</v>
      </c>
      <c r="F4" s="40" t="s">
        <v>154</v>
      </c>
      <c r="G4" s="184">
        <v>10</v>
      </c>
      <c r="H4" s="40">
        <v>10</v>
      </c>
      <c r="I4" s="40"/>
      <c r="J4" s="40" t="s">
        <v>127</v>
      </c>
      <c r="K4" s="173">
        <v>27</v>
      </c>
      <c r="L4" s="40">
        <v>80</v>
      </c>
      <c r="M4" s="4">
        <f t="shared" si="0"/>
        <v>0.33750000000000002</v>
      </c>
      <c r="N4" s="40" t="s">
        <v>58</v>
      </c>
      <c r="O4" s="40" t="s">
        <v>76</v>
      </c>
      <c r="P4" s="22" t="s">
        <v>20</v>
      </c>
      <c r="Q4" s="142"/>
    </row>
    <row r="5" spans="1:17" ht="12.75" customHeight="1">
      <c r="A5" s="43">
        <v>4</v>
      </c>
      <c r="B5" s="22" t="s">
        <v>424</v>
      </c>
      <c r="C5" s="40" t="s">
        <v>425</v>
      </c>
      <c r="D5" s="40" t="s">
        <v>426</v>
      </c>
      <c r="E5" s="43" t="s">
        <v>100</v>
      </c>
      <c r="F5" s="40" t="s">
        <v>154</v>
      </c>
      <c r="G5" s="184">
        <v>10</v>
      </c>
      <c r="H5" s="40">
        <v>10</v>
      </c>
      <c r="I5" s="40"/>
      <c r="J5" s="40" t="s">
        <v>127</v>
      </c>
      <c r="K5" s="173">
        <v>23</v>
      </c>
      <c r="L5" s="40">
        <v>80</v>
      </c>
      <c r="M5" s="4">
        <f t="shared" si="0"/>
        <v>0.28749999999999998</v>
      </c>
      <c r="N5" s="40" t="s">
        <v>58</v>
      </c>
      <c r="O5" s="40" t="s">
        <v>76</v>
      </c>
      <c r="P5" s="22" t="s">
        <v>20</v>
      </c>
      <c r="Q5" s="142"/>
    </row>
    <row r="6" spans="1:17">
      <c r="A6" s="43">
        <v>5</v>
      </c>
      <c r="B6" s="22" t="s">
        <v>349</v>
      </c>
      <c r="C6" s="40" t="s">
        <v>350</v>
      </c>
      <c r="D6" s="40" t="s">
        <v>216</v>
      </c>
      <c r="E6" s="43" t="s">
        <v>99</v>
      </c>
      <c r="F6" s="40" t="s">
        <v>154</v>
      </c>
      <c r="G6" s="184">
        <v>10</v>
      </c>
      <c r="H6" s="40">
        <v>10</v>
      </c>
      <c r="I6" s="40"/>
      <c r="J6" s="40" t="s">
        <v>127</v>
      </c>
      <c r="K6" s="173">
        <v>22</v>
      </c>
      <c r="L6" s="40">
        <v>80</v>
      </c>
      <c r="M6" s="4">
        <f t="shared" si="0"/>
        <v>0.27500000000000002</v>
      </c>
      <c r="N6" s="40" t="s">
        <v>58</v>
      </c>
      <c r="O6" s="40" t="s">
        <v>76</v>
      </c>
      <c r="P6" s="22" t="s">
        <v>20</v>
      </c>
      <c r="Q6" s="142"/>
    </row>
    <row r="7" spans="1:17">
      <c r="A7" s="43">
        <v>6</v>
      </c>
      <c r="B7" s="22" t="s">
        <v>532</v>
      </c>
      <c r="C7" s="40" t="s">
        <v>329</v>
      </c>
      <c r="D7" s="40" t="s">
        <v>328</v>
      </c>
      <c r="E7" s="43" t="s">
        <v>99</v>
      </c>
      <c r="F7" s="40" t="s">
        <v>154</v>
      </c>
      <c r="G7" s="184">
        <v>10</v>
      </c>
      <c r="H7" s="40">
        <v>10</v>
      </c>
      <c r="I7" s="40"/>
      <c r="J7" s="40" t="s">
        <v>127</v>
      </c>
      <c r="K7" s="173">
        <v>17</v>
      </c>
      <c r="L7" s="40">
        <v>80</v>
      </c>
      <c r="M7" s="4">
        <f t="shared" si="0"/>
        <v>0.21249999999999999</v>
      </c>
      <c r="N7" s="40" t="s">
        <v>58</v>
      </c>
      <c r="O7" s="40" t="s">
        <v>76</v>
      </c>
      <c r="P7" s="22" t="s">
        <v>20</v>
      </c>
      <c r="Q7" s="142"/>
    </row>
    <row r="8" spans="1:17" ht="12.75" customHeight="1">
      <c r="A8" s="40">
        <v>7</v>
      </c>
      <c r="B8" s="22" t="s">
        <v>540</v>
      </c>
      <c r="C8" s="22" t="s">
        <v>326</v>
      </c>
      <c r="D8" s="22" t="s">
        <v>216</v>
      </c>
      <c r="E8" s="43" t="s">
        <v>99</v>
      </c>
      <c r="F8" s="40" t="s">
        <v>154</v>
      </c>
      <c r="G8" s="184">
        <v>10</v>
      </c>
      <c r="H8" s="40">
        <v>10</v>
      </c>
      <c r="I8" s="23"/>
      <c r="J8" s="40" t="s">
        <v>127</v>
      </c>
      <c r="K8" s="12">
        <v>16</v>
      </c>
      <c r="L8" s="40">
        <v>80</v>
      </c>
      <c r="M8" s="4">
        <f t="shared" ref="M8" si="1">K8/L8</f>
        <v>0.2</v>
      </c>
      <c r="N8" s="40" t="s">
        <v>58</v>
      </c>
      <c r="O8" s="40" t="s">
        <v>76</v>
      </c>
      <c r="P8" s="22" t="s">
        <v>20</v>
      </c>
      <c r="Q8" s="22"/>
    </row>
    <row r="9" spans="1:17">
      <c r="A9" s="43">
        <v>8</v>
      </c>
      <c r="B9" s="22" t="s">
        <v>179</v>
      </c>
      <c r="C9" s="40" t="s">
        <v>274</v>
      </c>
      <c r="D9" s="40" t="s">
        <v>181</v>
      </c>
      <c r="E9" s="43" t="s">
        <v>99</v>
      </c>
      <c r="F9" s="40" t="s">
        <v>154</v>
      </c>
      <c r="G9" s="184">
        <v>11</v>
      </c>
      <c r="H9" s="40">
        <v>11</v>
      </c>
      <c r="I9" s="40"/>
      <c r="J9" s="40" t="s">
        <v>127</v>
      </c>
      <c r="K9" s="173">
        <v>66</v>
      </c>
      <c r="L9" s="40">
        <v>80</v>
      </c>
      <c r="M9" s="4">
        <f t="shared" ref="M9:M15" si="2">K9/L9</f>
        <v>0.82499999999999996</v>
      </c>
      <c r="N9" s="40" t="s">
        <v>49</v>
      </c>
      <c r="O9" s="40" t="s">
        <v>76</v>
      </c>
      <c r="P9" s="22" t="s">
        <v>20</v>
      </c>
      <c r="Q9" s="142"/>
    </row>
    <row r="10" spans="1:17">
      <c r="A10" s="43">
        <v>9</v>
      </c>
      <c r="B10" s="22" t="s">
        <v>535</v>
      </c>
      <c r="C10" s="40" t="s">
        <v>367</v>
      </c>
      <c r="D10" s="40" t="s">
        <v>536</v>
      </c>
      <c r="E10" s="43" t="s">
        <v>99</v>
      </c>
      <c r="F10" s="40" t="s">
        <v>154</v>
      </c>
      <c r="G10" s="184">
        <v>11</v>
      </c>
      <c r="H10" s="40">
        <v>11</v>
      </c>
      <c r="I10" s="40"/>
      <c r="J10" s="40" t="s">
        <v>127</v>
      </c>
      <c r="K10" s="173">
        <v>61</v>
      </c>
      <c r="L10" s="40">
        <v>80</v>
      </c>
      <c r="M10" s="4">
        <f t="shared" si="2"/>
        <v>0.76249999999999996</v>
      </c>
      <c r="N10" s="40" t="s">
        <v>50</v>
      </c>
      <c r="O10" s="40" t="s">
        <v>76</v>
      </c>
      <c r="P10" s="22" t="s">
        <v>20</v>
      </c>
      <c r="Q10" s="142"/>
    </row>
    <row r="11" spans="1:17">
      <c r="A11" s="43">
        <v>10</v>
      </c>
      <c r="B11" s="22" t="s">
        <v>537</v>
      </c>
      <c r="C11" s="40" t="s">
        <v>538</v>
      </c>
      <c r="D11" s="40" t="s">
        <v>246</v>
      </c>
      <c r="E11" s="43" t="s">
        <v>99</v>
      </c>
      <c r="F11" s="40" t="s">
        <v>154</v>
      </c>
      <c r="G11" s="184">
        <v>11</v>
      </c>
      <c r="H11" s="40">
        <v>11</v>
      </c>
      <c r="I11" s="40"/>
      <c r="J11" s="40" t="s">
        <v>127</v>
      </c>
      <c r="K11" s="173">
        <v>53</v>
      </c>
      <c r="L11" s="40">
        <v>80</v>
      </c>
      <c r="M11" s="4">
        <f t="shared" si="2"/>
        <v>0.66249999999999998</v>
      </c>
      <c r="N11" s="40" t="s">
        <v>58</v>
      </c>
      <c r="O11" s="40" t="s">
        <v>76</v>
      </c>
      <c r="P11" s="22" t="s">
        <v>20</v>
      </c>
      <c r="Q11" s="142"/>
    </row>
    <row r="12" spans="1:17">
      <c r="A12" s="43">
        <v>11</v>
      </c>
      <c r="B12" s="22" t="s">
        <v>430</v>
      </c>
      <c r="C12" s="40" t="s">
        <v>431</v>
      </c>
      <c r="D12" s="40" t="s">
        <v>246</v>
      </c>
      <c r="E12" s="43" t="s">
        <v>99</v>
      </c>
      <c r="F12" s="40" t="s">
        <v>154</v>
      </c>
      <c r="G12" s="184">
        <v>11</v>
      </c>
      <c r="H12" s="40">
        <v>11</v>
      </c>
      <c r="I12" s="40"/>
      <c r="J12" s="40" t="s">
        <v>127</v>
      </c>
      <c r="K12" s="173">
        <v>52</v>
      </c>
      <c r="L12" s="40">
        <v>80</v>
      </c>
      <c r="M12" s="4">
        <f t="shared" si="2"/>
        <v>0.65</v>
      </c>
      <c r="N12" s="40" t="s">
        <v>58</v>
      </c>
      <c r="O12" s="40" t="s">
        <v>76</v>
      </c>
      <c r="P12" s="22" t="s">
        <v>20</v>
      </c>
      <c r="Q12" s="142"/>
    </row>
    <row r="13" spans="1:17">
      <c r="A13" s="43">
        <v>12</v>
      </c>
      <c r="B13" s="22" t="s">
        <v>539</v>
      </c>
      <c r="C13" s="40" t="s">
        <v>188</v>
      </c>
      <c r="D13" s="40" t="s">
        <v>357</v>
      </c>
      <c r="E13" s="43" t="s">
        <v>99</v>
      </c>
      <c r="F13" s="40" t="s">
        <v>154</v>
      </c>
      <c r="G13" s="184">
        <v>11</v>
      </c>
      <c r="H13" s="40">
        <v>11</v>
      </c>
      <c r="I13" s="40"/>
      <c r="J13" s="40" t="s">
        <v>127</v>
      </c>
      <c r="K13" s="173">
        <v>36</v>
      </c>
      <c r="L13" s="40">
        <v>80</v>
      </c>
      <c r="M13" s="4">
        <f t="shared" si="2"/>
        <v>0.45</v>
      </c>
      <c r="N13" s="40" t="s">
        <v>58</v>
      </c>
      <c r="O13" s="40" t="s">
        <v>76</v>
      </c>
      <c r="P13" s="22" t="s">
        <v>20</v>
      </c>
      <c r="Q13" s="142"/>
    </row>
    <row r="14" spans="1:17">
      <c r="A14" s="43">
        <v>13</v>
      </c>
      <c r="B14" s="22" t="s">
        <v>710</v>
      </c>
      <c r="C14" s="22" t="s">
        <v>215</v>
      </c>
      <c r="D14" s="22" t="s">
        <v>357</v>
      </c>
      <c r="E14" s="43" t="s">
        <v>99</v>
      </c>
      <c r="F14" s="40" t="s">
        <v>154</v>
      </c>
      <c r="G14" s="184">
        <v>11</v>
      </c>
      <c r="H14" s="40">
        <v>11</v>
      </c>
      <c r="I14" s="40"/>
      <c r="J14" s="40" t="s">
        <v>127</v>
      </c>
      <c r="K14" s="173">
        <v>22</v>
      </c>
      <c r="L14" s="40">
        <v>80</v>
      </c>
      <c r="M14" s="4">
        <f t="shared" si="2"/>
        <v>0.27500000000000002</v>
      </c>
      <c r="N14" s="40" t="s">
        <v>58</v>
      </c>
      <c r="O14" s="40" t="s">
        <v>76</v>
      </c>
      <c r="P14" s="22" t="s">
        <v>20</v>
      </c>
      <c r="Q14" s="142"/>
    </row>
    <row r="15" spans="1:17">
      <c r="A15" s="43">
        <v>14</v>
      </c>
      <c r="B15" s="22" t="s">
        <v>432</v>
      </c>
      <c r="C15" s="40" t="s">
        <v>350</v>
      </c>
      <c r="D15" s="40" t="s">
        <v>433</v>
      </c>
      <c r="E15" s="43" t="s">
        <v>99</v>
      </c>
      <c r="F15" s="40" t="s">
        <v>154</v>
      </c>
      <c r="G15" s="184">
        <v>11</v>
      </c>
      <c r="H15" s="40">
        <v>11</v>
      </c>
      <c r="I15" s="40"/>
      <c r="J15" s="40" t="s">
        <v>127</v>
      </c>
      <c r="K15" s="173">
        <v>22</v>
      </c>
      <c r="L15" s="40">
        <v>80</v>
      </c>
      <c r="M15" s="4">
        <f t="shared" si="2"/>
        <v>0.27500000000000002</v>
      </c>
      <c r="N15" s="40" t="s">
        <v>58</v>
      </c>
      <c r="O15" s="40" t="s">
        <v>76</v>
      </c>
      <c r="P15" s="22" t="s">
        <v>20</v>
      </c>
      <c r="Q15" s="142"/>
    </row>
    <row r="16" spans="1:17">
      <c r="A16" s="3"/>
      <c r="B16" s="3"/>
      <c r="C16" s="3"/>
      <c r="D16" s="3"/>
      <c r="E16" s="178"/>
      <c r="F16" s="40"/>
      <c r="G16" s="50"/>
      <c r="H16" s="3"/>
      <c r="I16" s="5"/>
      <c r="J16" s="40"/>
      <c r="K16" s="5"/>
      <c r="L16" s="3"/>
      <c r="M16" s="4" t="e">
        <f t="shared" si="0"/>
        <v>#DIV/0!</v>
      </c>
      <c r="N16" s="38"/>
      <c r="O16" s="40" t="s">
        <v>76</v>
      </c>
      <c r="P16" s="22" t="s">
        <v>20</v>
      </c>
      <c r="Q16" s="142"/>
    </row>
    <row r="17" spans="1:17">
      <c r="A17" s="3"/>
      <c r="B17" s="3"/>
      <c r="C17" s="3"/>
      <c r="D17" s="3"/>
      <c r="E17" s="178"/>
      <c r="F17" s="40"/>
      <c r="G17" s="50"/>
      <c r="H17" s="3"/>
      <c r="I17" s="5"/>
      <c r="J17" s="40"/>
      <c r="K17" s="5"/>
      <c r="L17" s="3"/>
      <c r="M17" s="4" t="e">
        <f t="shared" si="0"/>
        <v>#DIV/0!</v>
      </c>
      <c r="N17" s="38"/>
      <c r="O17" s="40" t="s">
        <v>76</v>
      </c>
      <c r="P17" s="22" t="s">
        <v>20</v>
      </c>
      <c r="Q17" s="142"/>
    </row>
    <row r="18" spans="1:17">
      <c r="A18" s="3"/>
      <c r="B18" s="3"/>
      <c r="C18" s="3"/>
      <c r="D18" s="3"/>
      <c r="E18" s="178"/>
      <c r="F18" s="40"/>
      <c r="G18" s="50"/>
      <c r="H18" s="3"/>
      <c r="I18" s="5"/>
      <c r="J18" s="40"/>
      <c r="K18" s="5"/>
      <c r="L18" s="3"/>
      <c r="M18" s="4" t="e">
        <f t="shared" si="0"/>
        <v>#DIV/0!</v>
      </c>
      <c r="N18" s="38"/>
      <c r="O18" s="40" t="s">
        <v>76</v>
      </c>
      <c r="P18" s="22" t="s">
        <v>20</v>
      </c>
      <c r="Q18" s="142"/>
    </row>
    <row r="19" spans="1:17">
      <c r="A19" s="109"/>
      <c r="B19" s="109"/>
      <c r="C19" s="109"/>
      <c r="D19" s="109"/>
      <c r="E19" s="179"/>
      <c r="F19" s="40"/>
      <c r="G19" s="189"/>
      <c r="H19" s="109"/>
      <c r="I19" s="111"/>
      <c r="J19" s="103"/>
      <c r="K19" s="111"/>
      <c r="L19" s="109"/>
      <c r="M19" s="4" t="e">
        <f t="shared" si="0"/>
        <v>#DIV/0!</v>
      </c>
      <c r="N19" s="113"/>
      <c r="O19" s="40" t="s">
        <v>76</v>
      </c>
      <c r="P19" s="108" t="s">
        <v>20</v>
      </c>
      <c r="Q19" s="142"/>
    </row>
    <row r="20" spans="1:17">
      <c r="A20" s="3"/>
      <c r="B20" s="3"/>
      <c r="C20" s="3"/>
      <c r="D20" s="3"/>
      <c r="E20" s="178"/>
      <c r="F20" s="40"/>
      <c r="G20" s="50"/>
      <c r="H20" s="3"/>
      <c r="I20" s="47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20</v>
      </c>
      <c r="Q20" s="142"/>
    </row>
    <row r="21" spans="1:17">
      <c r="A21" s="72"/>
      <c r="B21" s="72"/>
      <c r="C21" s="72"/>
      <c r="D21" s="72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  <c r="P21" s="26"/>
    </row>
    <row r="22" spans="1:17">
      <c r="A22" s="72"/>
      <c r="B22" s="72"/>
      <c r="C22" s="72"/>
      <c r="D22" s="72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  <c r="P22" s="26"/>
    </row>
    <row r="23" spans="1:17">
      <c r="A23" s="72"/>
      <c r="B23" s="72"/>
      <c r="C23" s="72"/>
      <c r="D23" s="72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  <c r="P23" s="26"/>
    </row>
    <row r="24" spans="1:17">
      <c r="A24" s="72"/>
      <c r="B24" s="72"/>
      <c r="C24" s="72"/>
      <c r="D24" s="72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  <c r="P24" s="26"/>
    </row>
    <row r="25" spans="1:17">
      <c r="A25" s="72"/>
      <c r="B25" s="72"/>
      <c r="C25" s="72"/>
      <c r="D25" s="72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  <c r="P25" s="26"/>
    </row>
    <row r="26" spans="1:17">
      <c r="A26" s="72"/>
      <c r="B26" s="72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2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2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7 I9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7"/>
  <dimension ref="A1:Q52"/>
  <sheetViews>
    <sheetView workbookViewId="0">
      <selection activeCell="K27" sqref="K27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7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/>
      <c r="B2" s="40"/>
      <c r="C2" s="40"/>
      <c r="D2" s="40"/>
      <c r="E2" s="43"/>
      <c r="F2" s="40"/>
      <c r="G2" s="184"/>
      <c r="H2" s="40"/>
      <c r="I2" s="40"/>
      <c r="J2" s="40"/>
      <c r="K2" s="173"/>
      <c r="L2" s="40"/>
      <c r="M2" s="23" t="e">
        <f t="shared" ref="M2:M20" si="0">K2/L2</f>
        <v>#DIV/0!</v>
      </c>
      <c r="N2" s="40"/>
      <c r="O2" s="40" t="s">
        <v>76</v>
      </c>
      <c r="P2" s="22" t="s">
        <v>14</v>
      </c>
      <c r="Q2" s="142"/>
    </row>
    <row r="3" spans="1:17">
      <c r="A3" s="43"/>
      <c r="B3" s="40"/>
      <c r="C3" s="40"/>
      <c r="D3" s="40"/>
      <c r="E3" s="43"/>
      <c r="F3" s="40"/>
      <c r="G3" s="184"/>
      <c r="H3" s="40"/>
      <c r="I3" s="40"/>
      <c r="J3" s="40"/>
      <c r="K3" s="173"/>
      <c r="L3" s="40"/>
      <c r="M3" s="23" t="e">
        <f t="shared" si="0"/>
        <v>#DIV/0!</v>
      </c>
      <c r="N3" s="40"/>
      <c r="O3" s="40" t="s">
        <v>76</v>
      </c>
      <c r="P3" s="22" t="s">
        <v>14</v>
      </c>
      <c r="Q3" s="142"/>
    </row>
    <row r="4" spans="1:17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23" t="e">
        <f t="shared" si="0"/>
        <v>#DIV/0!</v>
      </c>
      <c r="N4" s="40"/>
      <c r="O4" s="40" t="s">
        <v>76</v>
      </c>
      <c r="P4" s="22" t="s">
        <v>14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23" t="e">
        <f t="shared" si="0"/>
        <v>#DIV/0!</v>
      </c>
      <c r="N5" s="40"/>
      <c r="O5" s="40" t="s">
        <v>76</v>
      </c>
      <c r="P5" s="22" t="s">
        <v>14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23" t="e">
        <f t="shared" si="0"/>
        <v>#DIV/0!</v>
      </c>
      <c r="N6" s="40"/>
      <c r="O6" s="40" t="s">
        <v>76</v>
      </c>
      <c r="P6" s="22" t="s">
        <v>14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23" t="e">
        <f t="shared" si="0"/>
        <v>#DIV/0!</v>
      </c>
      <c r="N7" s="40"/>
      <c r="O7" s="40" t="s">
        <v>76</v>
      </c>
      <c r="P7" s="22" t="s">
        <v>14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23" t="e">
        <f t="shared" si="0"/>
        <v>#DIV/0!</v>
      </c>
      <c r="N8" s="40"/>
      <c r="O8" s="40" t="s">
        <v>76</v>
      </c>
      <c r="P8" s="22" t="s">
        <v>14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23" t="e">
        <f t="shared" si="0"/>
        <v>#DIV/0!</v>
      </c>
      <c r="N9" s="40"/>
      <c r="O9" s="40" t="s">
        <v>76</v>
      </c>
      <c r="P9" s="22" t="s">
        <v>14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23" t="e">
        <f t="shared" si="0"/>
        <v>#DIV/0!</v>
      </c>
      <c r="N10" s="40"/>
      <c r="O10" s="40" t="s">
        <v>76</v>
      </c>
      <c r="P10" s="22" t="s">
        <v>14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23" t="e">
        <f t="shared" si="0"/>
        <v>#DIV/0!</v>
      </c>
      <c r="N11" s="40"/>
      <c r="O11" s="40" t="s">
        <v>76</v>
      </c>
      <c r="P11" s="22" t="s">
        <v>14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23" t="e">
        <f t="shared" si="0"/>
        <v>#DIV/0!</v>
      </c>
      <c r="N12" s="40"/>
      <c r="O12" s="40" t="s">
        <v>76</v>
      </c>
      <c r="P12" s="22" t="s">
        <v>14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23" t="e">
        <f t="shared" si="0"/>
        <v>#DIV/0!</v>
      </c>
      <c r="N13" s="40"/>
      <c r="O13" s="40" t="s">
        <v>76</v>
      </c>
      <c r="P13" s="22" t="s">
        <v>14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23" t="e">
        <f t="shared" si="0"/>
        <v>#DIV/0!</v>
      </c>
      <c r="N14" s="40"/>
      <c r="O14" s="40" t="s">
        <v>76</v>
      </c>
      <c r="P14" s="22" t="s">
        <v>14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23" t="e">
        <f t="shared" si="0"/>
        <v>#DIV/0!</v>
      </c>
      <c r="N15" s="40"/>
      <c r="O15" s="40" t="s">
        <v>76</v>
      </c>
      <c r="P15" s="22" t="s">
        <v>14</v>
      </c>
      <c r="Q15" s="142"/>
    </row>
    <row r="16" spans="1:17">
      <c r="A16" s="22"/>
      <c r="B16" s="22"/>
      <c r="C16" s="22"/>
      <c r="D16" s="22"/>
      <c r="E16" s="174"/>
      <c r="F16" s="40"/>
      <c r="G16" s="187"/>
      <c r="H16" s="23"/>
      <c r="I16" s="23"/>
      <c r="J16" s="40"/>
      <c r="K16" s="23"/>
      <c r="L16" s="23"/>
      <c r="M16" s="23" t="e">
        <f t="shared" si="0"/>
        <v>#DIV/0!</v>
      </c>
      <c r="N16" s="39"/>
      <c r="O16" s="40" t="s">
        <v>76</v>
      </c>
      <c r="P16" s="22" t="s">
        <v>14</v>
      </c>
      <c r="Q16" s="142"/>
    </row>
    <row r="17" spans="1:17">
      <c r="A17" s="22"/>
      <c r="B17" s="22"/>
      <c r="C17" s="22"/>
      <c r="D17" s="22"/>
      <c r="E17" s="174"/>
      <c r="F17" s="40"/>
      <c r="G17" s="187"/>
      <c r="H17" s="23"/>
      <c r="I17" s="23"/>
      <c r="J17" s="40"/>
      <c r="K17" s="23"/>
      <c r="L17" s="23"/>
      <c r="M17" s="23" t="e">
        <f t="shared" si="0"/>
        <v>#DIV/0!</v>
      </c>
      <c r="N17" s="39"/>
      <c r="O17" s="40" t="s">
        <v>76</v>
      </c>
      <c r="P17" s="22" t="s">
        <v>14</v>
      </c>
      <c r="Q17" s="142"/>
    </row>
    <row r="18" spans="1:17">
      <c r="A18" s="22"/>
      <c r="B18" s="22"/>
      <c r="C18" s="22"/>
      <c r="D18" s="22"/>
      <c r="E18" s="174"/>
      <c r="F18" s="40"/>
      <c r="G18" s="187"/>
      <c r="H18" s="23"/>
      <c r="I18" s="23"/>
      <c r="J18" s="40"/>
      <c r="K18" s="23"/>
      <c r="L18" s="23"/>
      <c r="M18" s="23" t="e">
        <f t="shared" si="0"/>
        <v>#DIV/0!</v>
      </c>
      <c r="N18" s="39"/>
      <c r="O18" s="40" t="s">
        <v>76</v>
      </c>
      <c r="P18" s="22" t="s">
        <v>14</v>
      </c>
      <c r="Q18" s="142"/>
    </row>
    <row r="19" spans="1:17">
      <c r="A19" s="108"/>
      <c r="B19" s="108"/>
      <c r="C19" s="108"/>
      <c r="D19" s="108"/>
      <c r="E19" s="175"/>
      <c r="F19" s="40"/>
      <c r="G19" s="188"/>
      <c r="H19" s="110"/>
      <c r="I19" s="110"/>
      <c r="J19" s="103"/>
      <c r="K19" s="110"/>
      <c r="L19" s="110"/>
      <c r="M19" s="23" t="e">
        <f t="shared" si="0"/>
        <v>#DIV/0!</v>
      </c>
      <c r="N19" s="114"/>
      <c r="O19" s="40" t="s">
        <v>76</v>
      </c>
      <c r="P19" s="108" t="s">
        <v>14</v>
      </c>
      <c r="Q19" s="142"/>
    </row>
    <row r="20" spans="1:17">
      <c r="A20" s="22"/>
      <c r="B20" s="22"/>
      <c r="C20" s="22"/>
      <c r="D20" s="22"/>
      <c r="E20" s="174"/>
      <c r="F20" s="40"/>
      <c r="G20" s="187"/>
      <c r="H20" s="23"/>
      <c r="I20" s="214"/>
      <c r="J20" s="40"/>
      <c r="K20" s="187"/>
      <c r="L20" s="23"/>
      <c r="M20" s="23" t="e">
        <f t="shared" si="0"/>
        <v>#DIV/0!</v>
      </c>
      <c r="N20" s="132"/>
      <c r="O20" s="40" t="s">
        <v>76</v>
      </c>
      <c r="P20" s="22" t="s">
        <v>14</v>
      </c>
      <c r="Q20" s="142"/>
    </row>
    <row r="21" spans="1:17">
      <c r="A21" s="26"/>
      <c r="B21" s="26"/>
      <c r="C21" s="26"/>
      <c r="D21" s="26"/>
      <c r="E21" s="26"/>
      <c r="F21" s="76"/>
      <c r="G21" s="53"/>
      <c r="H21" s="53"/>
      <c r="I21" s="53"/>
      <c r="J21" s="76"/>
      <c r="K21" s="53"/>
      <c r="L21" s="53"/>
      <c r="M21" s="53"/>
      <c r="N21" s="75"/>
      <c r="O21" s="172"/>
      <c r="P21" s="26"/>
    </row>
    <row r="22" spans="1:17">
      <c r="A22" s="26"/>
      <c r="B22" s="26"/>
      <c r="C22" s="26"/>
      <c r="D22" s="26"/>
      <c r="E22" s="26"/>
      <c r="F22" s="76"/>
      <c r="G22" s="53"/>
      <c r="H22" s="53"/>
      <c r="I22" s="53"/>
      <c r="J22" s="76"/>
      <c r="K22" s="53"/>
      <c r="L22" s="53"/>
      <c r="M22" s="53"/>
      <c r="N22" s="75"/>
      <c r="O22" s="172"/>
      <c r="P22" s="26"/>
    </row>
    <row r="23" spans="1:17">
      <c r="A23" s="26"/>
      <c r="B23" s="26"/>
      <c r="C23" s="26"/>
      <c r="D23" s="26"/>
      <c r="E23" s="26"/>
      <c r="F23" s="76"/>
      <c r="G23" s="53"/>
      <c r="H23" s="53"/>
      <c r="I23" s="53"/>
      <c r="J23" s="76"/>
      <c r="K23" s="53"/>
      <c r="L23" s="53"/>
      <c r="M23" s="53"/>
      <c r="N23" s="75"/>
      <c r="O23" s="172"/>
      <c r="P23" s="26"/>
    </row>
    <row r="24" spans="1:17">
      <c r="A24" s="26"/>
      <c r="B24" s="26"/>
      <c r="C24" s="26"/>
      <c r="D24" s="26"/>
      <c r="E24" s="26"/>
      <c r="F24" s="76"/>
      <c r="G24" s="53"/>
      <c r="H24" s="53"/>
      <c r="I24" s="53"/>
      <c r="J24" s="76"/>
      <c r="K24" s="53"/>
      <c r="L24" s="53"/>
      <c r="M24" s="53"/>
      <c r="N24" s="75"/>
      <c r="O24" s="172"/>
      <c r="P24" s="26"/>
    </row>
    <row r="25" spans="1:17">
      <c r="A25" s="26"/>
      <c r="B25" s="26"/>
      <c r="C25" s="26"/>
      <c r="D25" s="26"/>
      <c r="E25" s="26"/>
      <c r="F25" s="76"/>
      <c r="G25" s="53"/>
      <c r="H25" s="53"/>
      <c r="I25" s="53"/>
      <c r="J25" s="76"/>
      <c r="K25" s="53"/>
      <c r="L25" s="53"/>
      <c r="M25" s="53"/>
      <c r="N25" s="75"/>
      <c r="O25" s="172"/>
      <c r="P25" s="26"/>
    </row>
    <row r="26" spans="1:17">
      <c r="A26" s="26"/>
      <c r="B26" s="26"/>
      <c r="C26" s="26"/>
      <c r="D26" s="26"/>
      <c r="E26" s="26"/>
      <c r="F26" s="76"/>
      <c r="G26" s="53"/>
      <c r="H26" s="53"/>
      <c r="I26" s="53"/>
      <c r="J26" s="76"/>
      <c r="K26" s="53"/>
      <c r="L26" s="53"/>
      <c r="M26" s="53"/>
      <c r="N26" s="75"/>
      <c r="O26" s="172"/>
      <c r="P26" s="26"/>
    </row>
    <row r="27" spans="1:17">
      <c r="A27" s="26"/>
      <c r="B27" s="26"/>
      <c r="C27" s="26"/>
      <c r="D27" s="26"/>
      <c r="E27" s="26"/>
      <c r="F27" s="76"/>
      <c r="G27" s="53"/>
      <c r="H27" s="53"/>
      <c r="I27" s="53"/>
      <c r="J27" s="76"/>
      <c r="K27" s="53"/>
      <c r="L27" s="53"/>
      <c r="M27" s="53"/>
      <c r="N27" s="75"/>
      <c r="O27" s="172"/>
      <c r="P27" s="26"/>
    </row>
    <row r="28" spans="1:17">
      <c r="A28" s="26"/>
      <c r="B28" s="26"/>
      <c r="C28" s="26"/>
      <c r="D28" s="26"/>
      <c r="E28" s="26"/>
      <c r="F28" s="76"/>
      <c r="G28" s="53"/>
      <c r="H28" s="53"/>
      <c r="I28" s="53"/>
      <c r="J28" s="76"/>
      <c r="K28" s="53"/>
      <c r="L28" s="53"/>
      <c r="M28" s="53"/>
      <c r="N28" s="75"/>
      <c r="O28" s="172"/>
      <c r="P28" s="26"/>
    </row>
    <row r="29" spans="1:17">
      <c r="A29" s="26"/>
      <c r="B29" s="26"/>
      <c r="C29" s="26"/>
      <c r="D29" s="26"/>
      <c r="E29" s="26"/>
      <c r="F29" s="76"/>
      <c r="G29" s="53"/>
      <c r="H29" s="53"/>
      <c r="I29" s="53"/>
      <c r="J29" s="76"/>
      <c r="K29" s="53"/>
      <c r="L29" s="53"/>
      <c r="M29" s="53"/>
      <c r="N29" s="75"/>
      <c r="O29" s="172"/>
      <c r="P29" s="26"/>
    </row>
    <row r="30" spans="1:17">
      <c r="A30" s="26"/>
      <c r="B30" s="26"/>
      <c r="C30" s="26"/>
      <c r="D30" s="26"/>
      <c r="E30" s="26"/>
      <c r="F30" s="76"/>
      <c r="G30" s="53"/>
      <c r="H30" s="53"/>
      <c r="I30" s="53"/>
      <c r="J30" s="76"/>
      <c r="K30" s="53"/>
      <c r="L30" s="53"/>
      <c r="M30" s="53"/>
      <c r="N30" s="75"/>
      <c r="O30" s="172"/>
      <c r="P30" s="26"/>
    </row>
    <row r="31" spans="1:17">
      <c r="A31" s="26"/>
      <c r="B31" s="26"/>
      <c r="C31" s="26"/>
      <c r="D31" s="26"/>
      <c r="E31" s="26"/>
      <c r="F31" s="76"/>
      <c r="G31" s="53"/>
      <c r="H31" s="53"/>
      <c r="I31" s="53"/>
      <c r="J31" s="76"/>
      <c r="K31" s="53"/>
      <c r="L31" s="53"/>
      <c r="M31" s="53"/>
      <c r="N31" s="75"/>
      <c r="O31" s="172"/>
      <c r="P31" s="26"/>
    </row>
    <row r="32" spans="1:17">
      <c r="A32" s="26"/>
      <c r="B32" s="26"/>
      <c r="C32" s="26"/>
      <c r="D32" s="26"/>
      <c r="E32" s="26"/>
      <c r="F32" s="76"/>
      <c r="G32" s="53"/>
      <c r="H32" s="53"/>
      <c r="I32" s="53"/>
      <c r="J32" s="76"/>
      <c r="K32" s="53"/>
      <c r="L32" s="53"/>
      <c r="M32" s="53"/>
      <c r="N32" s="75"/>
      <c r="O32" s="172"/>
      <c r="P32" s="26"/>
    </row>
    <row r="33" spans="1:16">
      <c r="A33" s="26"/>
      <c r="B33" s="26"/>
      <c r="C33" s="26"/>
      <c r="D33" s="26"/>
      <c r="E33" s="26"/>
      <c r="F33" s="76"/>
      <c r="G33" s="53"/>
      <c r="H33" s="53"/>
      <c r="I33" s="53"/>
      <c r="J33" s="76"/>
      <c r="K33" s="53"/>
      <c r="L33" s="53"/>
      <c r="M33" s="53"/>
      <c r="N33" s="75"/>
      <c r="O33" s="172"/>
      <c r="P33" s="26"/>
    </row>
    <row r="34" spans="1:16">
      <c r="C34" s="26"/>
      <c r="D34" s="26"/>
      <c r="E34" s="26"/>
      <c r="F34" s="76"/>
      <c r="G34" s="53"/>
      <c r="H34" s="53"/>
      <c r="I34" s="53"/>
      <c r="J34" s="76"/>
      <c r="K34" s="53"/>
      <c r="L34" s="53"/>
      <c r="M34" s="53"/>
      <c r="N34" s="75"/>
      <c r="O34" s="172"/>
      <c r="P34" s="26"/>
    </row>
    <row r="35" spans="1:16">
      <c r="C35" s="26"/>
      <c r="D35" s="26"/>
      <c r="E35" s="26"/>
      <c r="F35" s="76"/>
      <c r="G35" s="53"/>
      <c r="H35" s="53"/>
      <c r="I35" s="53"/>
      <c r="J35" s="76"/>
      <c r="K35" s="53"/>
      <c r="L35" s="53"/>
      <c r="M35" s="53"/>
      <c r="N35" s="75"/>
      <c r="O35" s="172"/>
      <c r="P35" s="26"/>
    </row>
    <row r="36" spans="1:16">
      <c r="C36" s="26"/>
      <c r="D36" s="26"/>
      <c r="E36" s="26"/>
      <c r="F36" s="76"/>
      <c r="G36" s="53"/>
      <c r="H36" s="53"/>
      <c r="I36" s="53"/>
      <c r="J36" s="76"/>
      <c r="K36" s="53"/>
      <c r="L36" s="53"/>
      <c r="M36" s="53"/>
      <c r="N36" s="75"/>
      <c r="O36" s="172"/>
      <c r="P36" s="26"/>
    </row>
    <row r="37" spans="1:16">
      <c r="C37" s="26"/>
      <c r="D37" s="26"/>
      <c r="E37" s="26"/>
      <c r="F37" s="76"/>
      <c r="G37" s="53"/>
      <c r="H37" s="53"/>
      <c r="I37" s="53"/>
      <c r="J37" s="76"/>
      <c r="K37" s="53"/>
      <c r="L37" s="53"/>
      <c r="M37" s="53"/>
      <c r="N37" s="75"/>
      <c r="O37" s="172"/>
      <c r="P37" s="26"/>
    </row>
    <row r="38" spans="1:16">
      <c r="C38" s="26"/>
      <c r="D38" s="26"/>
      <c r="E38" s="26"/>
      <c r="F38" s="76"/>
      <c r="G38" s="53"/>
      <c r="H38" s="53"/>
      <c r="I38" s="53"/>
      <c r="J38" s="76"/>
      <c r="K38" s="53"/>
      <c r="L38" s="53"/>
      <c r="M38" s="53"/>
      <c r="N38" s="75"/>
      <c r="O38" s="172"/>
      <c r="P38" s="26"/>
    </row>
    <row r="39" spans="1:16">
      <c r="C39" s="26"/>
      <c r="D39" s="26"/>
      <c r="E39" s="26"/>
      <c r="F39" s="76"/>
      <c r="G39" s="53"/>
      <c r="H39" s="53"/>
      <c r="I39" s="53"/>
      <c r="J39" s="76"/>
      <c r="K39" s="53"/>
      <c r="L39" s="53"/>
      <c r="M39" s="53"/>
      <c r="N39" s="75"/>
      <c r="O39" s="172"/>
      <c r="P39" s="26"/>
    </row>
    <row r="40" spans="1:16">
      <c r="C40" s="26"/>
      <c r="D40" s="26"/>
      <c r="E40" s="26"/>
      <c r="F40" s="76"/>
      <c r="G40" s="53"/>
      <c r="H40" s="53"/>
      <c r="I40" s="53"/>
      <c r="J40" s="76"/>
      <c r="K40" s="53"/>
      <c r="L40" s="53"/>
      <c r="M40" s="53"/>
      <c r="N40" s="75"/>
      <c r="O40" s="172"/>
      <c r="P40" s="26"/>
    </row>
    <row r="41" spans="1:16">
      <c r="C41" s="26"/>
      <c r="D41" s="26"/>
      <c r="E41" s="26"/>
      <c r="F41" s="76"/>
      <c r="G41" s="53"/>
      <c r="H41" s="53"/>
      <c r="I41" s="53"/>
      <c r="J41" s="76"/>
      <c r="K41" s="53"/>
      <c r="L41" s="53"/>
      <c r="M41" s="53"/>
      <c r="N41" s="75"/>
      <c r="O41" s="172"/>
      <c r="P41" s="26"/>
    </row>
    <row r="42" spans="1:16">
      <c r="C42" s="26"/>
      <c r="D42" s="26"/>
      <c r="E42" s="26"/>
      <c r="F42" s="76"/>
      <c r="G42" s="53"/>
      <c r="H42" s="53"/>
      <c r="I42" s="53"/>
      <c r="J42" s="76"/>
      <c r="K42" s="53"/>
      <c r="L42" s="53"/>
      <c r="M42" s="53"/>
      <c r="N42" s="75"/>
      <c r="O42" s="172"/>
      <c r="P42" s="26"/>
    </row>
    <row r="43" spans="1:16">
      <c r="C43" s="26"/>
      <c r="D43" s="26"/>
      <c r="E43" s="26"/>
      <c r="F43" s="76"/>
      <c r="G43" s="53"/>
      <c r="H43" s="53"/>
      <c r="I43" s="53"/>
      <c r="J43" s="76"/>
      <c r="K43" s="53"/>
      <c r="L43" s="53"/>
      <c r="M43" s="53"/>
      <c r="N43" s="75"/>
      <c r="O43" s="172"/>
      <c r="P43" s="26"/>
    </row>
    <row r="44" spans="1:16">
      <c r="C44" s="26"/>
      <c r="D44" s="26"/>
      <c r="E44" s="26"/>
      <c r="F44" s="76"/>
      <c r="G44" s="53"/>
      <c r="H44" s="53"/>
      <c r="I44" s="53"/>
      <c r="J44" s="76"/>
      <c r="K44" s="53"/>
      <c r="L44" s="53"/>
      <c r="M44" s="53"/>
      <c r="N44" s="75"/>
      <c r="O44" s="172"/>
      <c r="P44" s="26"/>
    </row>
    <row r="45" spans="1:16">
      <c r="C45" s="26"/>
      <c r="D45" s="26"/>
      <c r="E45" s="26"/>
      <c r="F45" s="76"/>
      <c r="G45" s="53"/>
      <c r="H45" s="53"/>
      <c r="I45" s="53"/>
      <c r="J45" s="76"/>
      <c r="K45" s="53"/>
      <c r="L45" s="53"/>
      <c r="M45" s="53"/>
      <c r="N45" s="75"/>
      <c r="O45" s="172"/>
      <c r="P45" s="26"/>
    </row>
    <row r="46" spans="1:16">
      <c r="C46" s="26"/>
      <c r="D46" s="26"/>
      <c r="E46" s="26"/>
      <c r="F46" s="76"/>
      <c r="G46" s="53"/>
      <c r="H46" s="53"/>
      <c r="I46" s="53"/>
      <c r="J46" s="76"/>
      <c r="K46" s="53"/>
      <c r="L46" s="53"/>
      <c r="M46" s="53"/>
      <c r="N46" s="75"/>
      <c r="O46" s="172"/>
      <c r="P46" s="26"/>
    </row>
    <row r="47" spans="1:16">
      <c r="C47" s="26"/>
      <c r="D47" s="26"/>
      <c r="E47" s="26"/>
      <c r="F47" s="76"/>
      <c r="G47" s="53"/>
      <c r="H47" s="53"/>
      <c r="I47" s="53"/>
      <c r="J47" s="76"/>
      <c r="K47" s="53"/>
      <c r="L47" s="53"/>
      <c r="M47" s="53"/>
      <c r="N47" s="75"/>
      <c r="O47" s="172"/>
      <c r="P47" s="26"/>
    </row>
    <row r="48" spans="1:16">
      <c r="C48" s="26"/>
      <c r="D48" s="26"/>
      <c r="E48" s="26"/>
      <c r="F48" s="76"/>
      <c r="G48" s="53"/>
      <c r="H48" s="53"/>
      <c r="I48" s="53"/>
      <c r="J48" s="76"/>
      <c r="K48" s="53"/>
      <c r="L48" s="53"/>
      <c r="M48" s="53"/>
      <c r="N48" s="75"/>
      <c r="O48" s="172"/>
      <c r="P48" s="26"/>
    </row>
    <row r="49" spans="3:16">
      <c r="C49" s="26"/>
      <c r="D49" s="26"/>
      <c r="E49" s="26"/>
      <c r="F49" s="76"/>
      <c r="G49" s="53"/>
      <c r="H49" s="53"/>
      <c r="I49" s="53"/>
      <c r="J49" s="76"/>
      <c r="K49" s="53"/>
      <c r="L49" s="53"/>
      <c r="M49" s="53"/>
      <c r="N49" s="75"/>
      <c r="O49" s="172"/>
      <c r="P49" s="26"/>
    </row>
    <row r="50" spans="3:16">
      <c r="C50" s="26"/>
      <c r="D50" s="26"/>
      <c r="E50" s="26"/>
      <c r="F50" s="76"/>
      <c r="G50" s="53"/>
      <c r="H50" s="53"/>
      <c r="I50" s="53"/>
      <c r="J50" s="76"/>
      <c r="K50" s="53"/>
      <c r="L50" s="53"/>
      <c r="M50" s="53"/>
      <c r="N50" s="75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4"/>
  <dimension ref="A1:Q52"/>
  <sheetViews>
    <sheetView workbookViewId="0">
      <selection activeCell="N15" sqref="N15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0.5703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22" t="s">
        <v>541</v>
      </c>
      <c r="C2" s="40" t="s">
        <v>320</v>
      </c>
      <c r="D2" s="40" t="s">
        <v>319</v>
      </c>
      <c r="E2" s="43" t="s">
        <v>99</v>
      </c>
      <c r="F2" s="40" t="s">
        <v>154</v>
      </c>
      <c r="G2" s="184">
        <v>8</v>
      </c>
      <c r="H2" s="40">
        <v>8</v>
      </c>
      <c r="I2" s="40"/>
      <c r="J2" s="40" t="s">
        <v>127</v>
      </c>
      <c r="K2" s="173">
        <v>14</v>
      </c>
      <c r="L2" s="40">
        <v>52</v>
      </c>
      <c r="M2" s="60">
        <f t="shared" ref="M2:M10" si="0">K2/L2</f>
        <v>0.26923076923076922</v>
      </c>
      <c r="N2" s="40" t="s">
        <v>58</v>
      </c>
      <c r="O2" s="40" t="s">
        <v>76</v>
      </c>
      <c r="P2" s="22" t="s">
        <v>21</v>
      </c>
      <c r="Q2" s="142"/>
    </row>
    <row r="3" spans="1:17">
      <c r="A3" s="43">
        <v>2</v>
      </c>
      <c r="B3" s="22" t="s">
        <v>542</v>
      </c>
      <c r="C3" s="40" t="s">
        <v>543</v>
      </c>
      <c r="D3" s="40" t="s">
        <v>283</v>
      </c>
      <c r="E3" s="43" t="s">
        <v>99</v>
      </c>
      <c r="F3" s="40" t="s">
        <v>154</v>
      </c>
      <c r="G3" s="184">
        <v>9</v>
      </c>
      <c r="H3" s="40">
        <v>9</v>
      </c>
      <c r="I3" s="40"/>
      <c r="J3" s="40" t="s">
        <v>127</v>
      </c>
      <c r="K3" s="173">
        <v>17</v>
      </c>
      <c r="L3" s="40">
        <v>67</v>
      </c>
      <c r="M3" s="60">
        <f t="shared" si="0"/>
        <v>0.2537313432835821</v>
      </c>
      <c r="N3" s="40" t="s">
        <v>58</v>
      </c>
      <c r="O3" s="40" t="s">
        <v>76</v>
      </c>
      <c r="P3" s="22" t="s">
        <v>21</v>
      </c>
      <c r="Q3" s="142"/>
    </row>
    <row r="4" spans="1:17">
      <c r="A4" s="43">
        <v>3</v>
      </c>
      <c r="B4" s="22" t="s">
        <v>244</v>
      </c>
      <c r="C4" s="40" t="s">
        <v>245</v>
      </c>
      <c r="D4" s="40" t="s">
        <v>246</v>
      </c>
      <c r="E4" s="43" t="s">
        <v>99</v>
      </c>
      <c r="F4" s="40" t="s">
        <v>154</v>
      </c>
      <c r="G4" s="184">
        <v>9</v>
      </c>
      <c r="H4" s="40">
        <v>9</v>
      </c>
      <c r="I4" s="40"/>
      <c r="J4" s="40" t="s">
        <v>127</v>
      </c>
      <c r="K4" s="173">
        <v>13</v>
      </c>
      <c r="L4" s="40">
        <v>67</v>
      </c>
      <c r="M4" s="60">
        <f t="shared" si="0"/>
        <v>0.19402985074626866</v>
      </c>
      <c r="N4" s="40" t="s">
        <v>58</v>
      </c>
      <c r="O4" s="40" t="s">
        <v>76</v>
      </c>
      <c r="P4" s="22" t="s">
        <v>21</v>
      </c>
      <c r="Q4" s="142"/>
    </row>
    <row r="5" spans="1:17">
      <c r="A5" s="43">
        <v>4</v>
      </c>
      <c r="B5" s="22" t="s">
        <v>544</v>
      </c>
      <c r="C5" s="40" t="s">
        <v>545</v>
      </c>
      <c r="D5" s="40" t="s">
        <v>357</v>
      </c>
      <c r="E5" s="43" t="s">
        <v>99</v>
      </c>
      <c r="F5" s="40" t="s">
        <v>154</v>
      </c>
      <c r="G5" s="184">
        <v>9</v>
      </c>
      <c r="H5" s="40">
        <v>9</v>
      </c>
      <c r="I5" s="40"/>
      <c r="J5" s="40" t="s">
        <v>127</v>
      </c>
      <c r="K5" s="173">
        <v>9</v>
      </c>
      <c r="L5" s="40">
        <v>67</v>
      </c>
      <c r="M5" s="60">
        <f t="shared" si="0"/>
        <v>0.13432835820895522</v>
      </c>
      <c r="N5" s="40" t="s">
        <v>58</v>
      </c>
      <c r="O5" s="40" t="s">
        <v>76</v>
      </c>
      <c r="P5" s="22" t="s">
        <v>21</v>
      </c>
      <c r="Q5" s="142"/>
    </row>
    <row r="6" spans="1:17">
      <c r="A6" s="43">
        <v>5</v>
      </c>
      <c r="B6" s="22" t="s">
        <v>342</v>
      </c>
      <c r="C6" s="40" t="s">
        <v>343</v>
      </c>
      <c r="D6" s="40" t="s">
        <v>546</v>
      </c>
      <c r="E6" s="43" t="s">
        <v>99</v>
      </c>
      <c r="F6" s="40" t="s">
        <v>154</v>
      </c>
      <c r="G6" s="184">
        <v>9</v>
      </c>
      <c r="H6" s="40">
        <v>9</v>
      </c>
      <c r="I6" s="40"/>
      <c r="J6" s="40" t="s">
        <v>127</v>
      </c>
      <c r="K6" s="173">
        <v>6</v>
      </c>
      <c r="L6" s="40">
        <v>67</v>
      </c>
      <c r="M6" s="60">
        <f t="shared" si="0"/>
        <v>8.9552238805970144E-2</v>
      </c>
      <c r="N6" s="40" t="s">
        <v>58</v>
      </c>
      <c r="O6" s="40" t="s">
        <v>76</v>
      </c>
      <c r="P6" s="22" t="s">
        <v>21</v>
      </c>
      <c r="Q6" s="142"/>
    </row>
    <row r="7" spans="1:17">
      <c r="A7" s="43">
        <v>6</v>
      </c>
      <c r="B7" s="22" t="s">
        <v>182</v>
      </c>
      <c r="C7" s="40" t="s">
        <v>238</v>
      </c>
      <c r="D7" s="40" t="s">
        <v>198</v>
      </c>
      <c r="E7" s="43" t="s">
        <v>100</v>
      </c>
      <c r="F7" s="40" t="s">
        <v>154</v>
      </c>
      <c r="G7" s="184">
        <v>9</v>
      </c>
      <c r="H7" s="40">
        <v>9</v>
      </c>
      <c r="I7" s="40"/>
      <c r="J7" s="40" t="s">
        <v>127</v>
      </c>
      <c r="K7" s="173">
        <v>4</v>
      </c>
      <c r="L7" s="40">
        <v>67</v>
      </c>
      <c r="M7" s="60">
        <f t="shared" si="0"/>
        <v>5.9701492537313432E-2</v>
      </c>
      <c r="N7" s="40" t="s">
        <v>58</v>
      </c>
      <c r="O7" s="40" t="s">
        <v>76</v>
      </c>
      <c r="P7" s="22" t="s">
        <v>21</v>
      </c>
      <c r="Q7" s="142"/>
    </row>
    <row r="8" spans="1:17">
      <c r="A8" s="43">
        <v>7</v>
      </c>
      <c r="B8" s="40" t="s">
        <v>325</v>
      </c>
      <c r="C8" s="40" t="s">
        <v>171</v>
      </c>
      <c r="D8" s="40" t="s">
        <v>223</v>
      </c>
      <c r="E8" s="43" t="s">
        <v>100</v>
      </c>
      <c r="F8" s="40" t="s">
        <v>154</v>
      </c>
      <c r="G8" s="184">
        <v>10</v>
      </c>
      <c r="H8" s="40">
        <v>10</v>
      </c>
      <c r="I8" s="40"/>
      <c r="J8" s="40" t="s">
        <v>127</v>
      </c>
      <c r="K8" s="173">
        <v>7</v>
      </c>
      <c r="L8" s="40">
        <v>100</v>
      </c>
      <c r="M8" s="60">
        <f t="shared" si="0"/>
        <v>7.0000000000000007E-2</v>
      </c>
      <c r="N8" s="40" t="s">
        <v>58</v>
      </c>
      <c r="O8" s="40" t="s">
        <v>76</v>
      </c>
      <c r="P8" s="22" t="s">
        <v>21</v>
      </c>
      <c r="Q8" s="142"/>
    </row>
    <row r="9" spans="1:17">
      <c r="A9" s="43">
        <v>8</v>
      </c>
      <c r="B9" s="22" t="s">
        <v>322</v>
      </c>
      <c r="C9" s="40" t="s">
        <v>173</v>
      </c>
      <c r="D9" s="40" t="s">
        <v>210</v>
      </c>
      <c r="E9" s="43" t="s">
        <v>100</v>
      </c>
      <c r="F9" s="40" t="s">
        <v>154</v>
      </c>
      <c r="G9" s="184">
        <v>10</v>
      </c>
      <c r="H9" s="40">
        <v>10</v>
      </c>
      <c r="I9" s="40"/>
      <c r="J9" s="40" t="s">
        <v>127</v>
      </c>
      <c r="K9" s="173">
        <v>2</v>
      </c>
      <c r="L9" s="40">
        <v>100</v>
      </c>
      <c r="M9" s="60">
        <f t="shared" si="0"/>
        <v>0.02</v>
      </c>
      <c r="N9" s="40" t="s">
        <v>58</v>
      </c>
      <c r="O9" s="40" t="s">
        <v>76</v>
      </c>
      <c r="P9" s="22" t="s">
        <v>21</v>
      </c>
      <c r="Q9" s="142"/>
    </row>
    <row r="10" spans="1:17">
      <c r="A10" s="43">
        <v>9</v>
      </c>
      <c r="B10" s="40" t="s">
        <v>547</v>
      </c>
      <c r="C10" s="40" t="s">
        <v>548</v>
      </c>
      <c r="D10" s="40" t="s">
        <v>250</v>
      </c>
      <c r="E10" s="43" t="s">
        <v>100</v>
      </c>
      <c r="F10" s="40" t="s">
        <v>154</v>
      </c>
      <c r="G10" s="184">
        <v>11</v>
      </c>
      <c r="H10" s="40">
        <v>11</v>
      </c>
      <c r="I10" s="40"/>
      <c r="J10" s="40" t="s">
        <v>127</v>
      </c>
      <c r="K10" s="173">
        <v>8</v>
      </c>
      <c r="L10" s="40">
        <v>104</v>
      </c>
      <c r="M10" s="60">
        <f t="shared" si="0"/>
        <v>7.6923076923076927E-2</v>
      </c>
      <c r="N10" s="40" t="s">
        <v>58</v>
      </c>
      <c r="O10" s="40" t="s">
        <v>76</v>
      </c>
      <c r="P10" s="22" t="s">
        <v>21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ref="M11:M20" si="1">K11/L11</f>
        <v>#DIV/0!</v>
      </c>
      <c r="N11" s="40"/>
      <c r="O11" s="40" t="s">
        <v>76</v>
      </c>
      <c r="P11" s="22" t="s">
        <v>21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1"/>
        <v>#DIV/0!</v>
      </c>
      <c r="N12" s="40"/>
      <c r="O12" s="40" t="s">
        <v>76</v>
      </c>
      <c r="P12" s="22" t="s">
        <v>21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1"/>
        <v>#DIV/0!</v>
      </c>
      <c r="N13" s="40"/>
      <c r="O13" s="40" t="s">
        <v>76</v>
      </c>
      <c r="P13" s="22" t="s">
        <v>21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1"/>
        <v>#DIV/0!</v>
      </c>
      <c r="N14" s="40"/>
      <c r="O14" s="40" t="s">
        <v>76</v>
      </c>
      <c r="P14" s="22" t="s">
        <v>21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1"/>
        <v>#DIV/0!</v>
      </c>
      <c r="N15" s="40"/>
      <c r="O15" s="40" t="s">
        <v>76</v>
      </c>
      <c r="P15" s="22" t="s">
        <v>21</v>
      </c>
      <c r="Q15" s="142"/>
    </row>
    <row r="16" spans="1:17">
      <c r="A16" s="3"/>
      <c r="B16" s="6"/>
      <c r="C16" s="3"/>
      <c r="D16" s="3"/>
      <c r="E16" s="178"/>
      <c r="F16" s="40"/>
      <c r="G16" s="50"/>
      <c r="H16" s="3"/>
      <c r="I16" s="5"/>
      <c r="J16" s="40"/>
      <c r="K16" s="5"/>
      <c r="L16" s="3"/>
      <c r="M16" s="4" t="e">
        <f t="shared" si="1"/>
        <v>#DIV/0!</v>
      </c>
      <c r="N16" s="38"/>
      <c r="O16" s="40" t="s">
        <v>76</v>
      </c>
      <c r="P16" s="22" t="s">
        <v>21</v>
      </c>
      <c r="Q16" s="142"/>
    </row>
    <row r="17" spans="1:17">
      <c r="A17" s="3"/>
      <c r="B17" s="6"/>
      <c r="C17" s="3"/>
      <c r="D17" s="3"/>
      <c r="E17" s="178"/>
      <c r="F17" s="40"/>
      <c r="G17" s="50"/>
      <c r="H17" s="3"/>
      <c r="I17" s="5"/>
      <c r="J17" s="40"/>
      <c r="K17" s="5"/>
      <c r="L17" s="3"/>
      <c r="M17" s="4" t="e">
        <f t="shared" si="1"/>
        <v>#DIV/0!</v>
      </c>
      <c r="N17" s="38"/>
      <c r="O17" s="40" t="s">
        <v>76</v>
      </c>
      <c r="P17" s="22" t="s">
        <v>21</v>
      </c>
      <c r="Q17" s="142"/>
    </row>
    <row r="18" spans="1:17">
      <c r="A18" s="3"/>
      <c r="B18" s="6"/>
      <c r="C18" s="3"/>
      <c r="D18" s="3"/>
      <c r="E18" s="178"/>
      <c r="F18" s="40"/>
      <c r="G18" s="50"/>
      <c r="H18" s="3"/>
      <c r="I18" s="5"/>
      <c r="J18" s="40"/>
      <c r="K18" s="5"/>
      <c r="L18" s="3"/>
      <c r="M18" s="4" t="e">
        <f t="shared" si="1"/>
        <v>#DIV/0!</v>
      </c>
      <c r="N18" s="38"/>
      <c r="O18" s="40" t="s">
        <v>76</v>
      </c>
      <c r="P18" s="22" t="s">
        <v>21</v>
      </c>
      <c r="Q18" s="142"/>
    </row>
    <row r="19" spans="1:17">
      <c r="A19" s="109"/>
      <c r="B19" s="121"/>
      <c r="C19" s="109"/>
      <c r="D19" s="109"/>
      <c r="E19" s="179"/>
      <c r="F19" s="40"/>
      <c r="G19" s="189"/>
      <c r="H19" s="109"/>
      <c r="I19" s="111"/>
      <c r="J19" s="103"/>
      <c r="K19" s="111"/>
      <c r="L19" s="109"/>
      <c r="M19" s="4" t="e">
        <f t="shared" si="1"/>
        <v>#DIV/0!</v>
      </c>
      <c r="N19" s="113"/>
      <c r="O19" s="40" t="s">
        <v>76</v>
      </c>
      <c r="P19" s="108" t="s">
        <v>21</v>
      </c>
      <c r="Q19" s="142"/>
    </row>
    <row r="20" spans="1:17">
      <c r="A20" s="3"/>
      <c r="B20" s="6"/>
      <c r="C20" s="3"/>
      <c r="D20" s="3"/>
      <c r="E20" s="178"/>
      <c r="F20" s="40"/>
      <c r="G20" s="50"/>
      <c r="H20" s="3"/>
      <c r="I20" s="47"/>
      <c r="J20" s="40"/>
      <c r="K20" s="171"/>
      <c r="L20" s="3"/>
      <c r="M20" s="4" t="e">
        <f t="shared" si="1"/>
        <v>#DIV/0!</v>
      </c>
      <c r="N20" s="3"/>
      <c r="O20" s="40" t="s">
        <v>76</v>
      </c>
      <c r="P20" s="22" t="s">
        <v>21</v>
      </c>
      <c r="Q20" s="142"/>
    </row>
    <row r="21" spans="1:17">
      <c r="A21" s="72"/>
      <c r="B21" s="77"/>
      <c r="C21" s="72"/>
      <c r="D21" s="72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  <c r="P21" s="26"/>
    </row>
    <row r="22" spans="1:17">
      <c r="A22" s="72"/>
      <c r="B22" s="77"/>
      <c r="C22" s="72"/>
      <c r="D22" s="72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  <c r="P22" s="26"/>
    </row>
    <row r="23" spans="1:17">
      <c r="A23" s="72"/>
      <c r="B23" s="77"/>
      <c r="C23" s="72"/>
      <c r="D23" s="72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  <c r="P23" s="26"/>
    </row>
    <row r="24" spans="1:17">
      <c r="A24" s="72"/>
      <c r="B24" s="77"/>
      <c r="C24" s="72"/>
      <c r="D24" s="72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  <c r="P24" s="26"/>
    </row>
    <row r="25" spans="1:17">
      <c r="A25" s="72"/>
      <c r="B25" s="77"/>
      <c r="C25" s="72"/>
      <c r="D25" s="72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  <c r="P25" s="26"/>
    </row>
    <row r="26" spans="1:17">
      <c r="A26" s="72"/>
      <c r="B26" s="77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7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7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7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7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7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7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7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0"/>
  <dimension ref="A1:Q52"/>
  <sheetViews>
    <sheetView workbookViewId="0">
      <selection activeCell="M2" sqref="M2:M4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58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0.710937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44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59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170</v>
      </c>
      <c r="C2" s="40" t="s">
        <v>171</v>
      </c>
      <c r="D2" s="40" t="s">
        <v>175</v>
      </c>
      <c r="E2" s="43" t="s">
        <v>100</v>
      </c>
      <c r="F2" s="40" t="s">
        <v>154</v>
      </c>
      <c r="G2" s="184">
        <v>11</v>
      </c>
      <c r="H2" s="40">
        <v>11</v>
      </c>
      <c r="I2" s="40"/>
      <c r="J2" s="40" t="s">
        <v>127</v>
      </c>
      <c r="K2" s="173">
        <v>27</v>
      </c>
      <c r="L2" s="40">
        <v>55</v>
      </c>
      <c r="M2" s="60">
        <f t="shared" ref="M2:M20" si="0">K2/L2</f>
        <v>0.49090909090909091</v>
      </c>
      <c r="N2" s="40" t="s">
        <v>58</v>
      </c>
      <c r="O2" s="40" t="s">
        <v>76</v>
      </c>
      <c r="P2" s="22" t="s">
        <v>17</v>
      </c>
      <c r="Q2" s="142"/>
    </row>
    <row r="3" spans="1:17" ht="12.75" customHeight="1">
      <c r="A3" s="43">
        <v>2</v>
      </c>
      <c r="B3" s="40" t="s">
        <v>172</v>
      </c>
      <c r="C3" s="40" t="s">
        <v>173</v>
      </c>
      <c r="D3" s="40" t="s">
        <v>174</v>
      </c>
      <c r="E3" s="43" t="s">
        <v>100</v>
      </c>
      <c r="F3" s="40" t="s">
        <v>154</v>
      </c>
      <c r="G3" s="184">
        <v>11</v>
      </c>
      <c r="H3" s="40">
        <v>11</v>
      </c>
      <c r="I3" s="40"/>
      <c r="J3" s="40" t="s">
        <v>127</v>
      </c>
      <c r="K3" s="173">
        <v>22</v>
      </c>
      <c r="L3" s="40">
        <v>55</v>
      </c>
      <c r="M3" s="60">
        <f t="shared" si="0"/>
        <v>0.4</v>
      </c>
      <c r="N3" s="40" t="s">
        <v>58</v>
      </c>
      <c r="O3" s="40" t="s">
        <v>76</v>
      </c>
      <c r="P3" s="22" t="s">
        <v>17</v>
      </c>
      <c r="Q3" s="142"/>
    </row>
    <row r="4" spans="1:17" ht="12.75" customHeight="1">
      <c r="A4" s="174"/>
      <c r="B4" s="22"/>
      <c r="C4" s="40"/>
      <c r="D4" s="40"/>
      <c r="E4" s="43"/>
      <c r="F4" s="40"/>
      <c r="G4" s="184"/>
      <c r="H4" s="40"/>
      <c r="I4" s="40"/>
      <c r="J4" s="40"/>
      <c r="K4" s="173"/>
      <c r="L4" s="40"/>
      <c r="M4" s="60" t="e">
        <f t="shared" si="0"/>
        <v>#DIV/0!</v>
      </c>
      <c r="N4" s="40"/>
      <c r="O4" s="40" t="s">
        <v>76</v>
      </c>
      <c r="P4" s="22" t="s">
        <v>17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60" t="e">
        <f t="shared" si="0"/>
        <v>#DIV/0!</v>
      </c>
      <c r="N5" s="40"/>
      <c r="O5" s="40" t="s">
        <v>76</v>
      </c>
      <c r="P5" s="22" t="s">
        <v>17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60" t="e">
        <f t="shared" si="0"/>
        <v>#DIV/0!</v>
      </c>
      <c r="N6" s="40"/>
      <c r="O6" s="40" t="s">
        <v>76</v>
      </c>
      <c r="P6" s="22" t="s">
        <v>17</v>
      </c>
      <c r="Q6" s="142"/>
    </row>
    <row r="7" spans="1:17" ht="12.75" customHeight="1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60" t="e">
        <f t="shared" si="0"/>
        <v>#DIV/0!</v>
      </c>
      <c r="N7" s="40"/>
      <c r="O7" s="40" t="s">
        <v>76</v>
      </c>
      <c r="P7" s="22" t="s">
        <v>17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60" t="e">
        <f t="shared" si="0"/>
        <v>#DIV/0!</v>
      </c>
      <c r="N8" s="40"/>
      <c r="O8" s="40" t="s">
        <v>76</v>
      </c>
      <c r="P8" s="22" t="s">
        <v>17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60" t="e">
        <f t="shared" si="0"/>
        <v>#DIV/0!</v>
      </c>
      <c r="N9" s="40"/>
      <c r="O9" s="40" t="s">
        <v>76</v>
      </c>
      <c r="P9" s="22" t="s">
        <v>17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60" t="e">
        <f t="shared" si="0"/>
        <v>#DIV/0!</v>
      </c>
      <c r="N10" s="40"/>
      <c r="O10" s="40" t="s">
        <v>76</v>
      </c>
      <c r="P10" s="22" t="s">
        <v>17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60" t="e">
        <f t="shared" si="0"/>
        <v>#DIV/0!</v>
      </c>
      <c r="N11" s="40"/>
      <c r="O11" s="40" t="s">
        <v>76</v>
      </c>
      <c r="P11" s="22" t="s">
        <v>17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60" t="e">
        <f t="shared" si="0"/>
        <v>#DIV/0!</v>
      </c>
      <c r="N12" s="40"/>
      <c r="O12" s="40" t="s">
        <v>76</v>
      </c>
      <c r="P12" s="22" t="s">
        <v>17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60" t="e">
        <f t="shared" si="0"/>
        <v>#DIV/0!</v>
      </c>
      <c r="N13" s="40"/>
      <c r="O13" s="40" t="s">
        <v>76</v>
      </c>
      <c r="P13" s="22" t="s">
        <v>17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60" t="e">
        <f t="shared" si="0"/>
        <v>#DIV/0!</v>
      </c>
      <c r="N14" s="40"/>
      <c r="O14" s="40" t="s">
        <v>76</v>
      </c>
      <c r="P14" s="22" t="s">
        <v>17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60" t="e">
        <f t="shared" si="0"/>
        <v>#DIV/0!</v>
      </c>
      <c r="N15" s="40"/>
      <c r="O15" s="40" t="s">
        <v>76</v>
      </c>
      <c r="P15" s="22" t="s">
        <v>17</v>
      </c>
      <c r="Q15" s="142"/>
    </row>
    <row r="16" spans="1:17">
      <c r="A16" s="3"/>
      <c r="B16" s="3"/>
      <c r="C16" s="3"/>
      <c r="D16" s="3"/>
      <c r="E16" s="43"/>
      <c r="F16" s="40"/>
      <c r="G16" s="187"/>
      <c r="H16" s="23"/>
      <c r="I16" s="5"/>
      <c r="J16" s="40"/>
      <c r="K16" s="57"/>
      <c r="L16" s="23"/>
      <c r="M16" s="60" t="e">
        <f t="shared" si="0"/>
        <v>#DIV/0!</v>
      </c>
      <c r="N16" s="38"/>
      <c r="O16" s="40" t="s">
        <v>76</v>
      </c>
      <c r="P16" s="22" t="s">
        <v>17</v>
      </c>
      <c r="Q16" s="142"/>
    </row>
    <row r="17" spans="1:17">
      <c r="A17" s="3"/>
      <c r="B17" s="3"/>
      <c r="C17" s="3"/>
      <c r="D17" s="3"/>
      <c r="E17" s="43"/>
      <c r="F17" s="40"/>
      <c r="G17" s="187"/>
      <c r="H17" s="23"/>
      <c r="I17" s="5"/>
      <c r="J17" s="40"/>
      <c r="K17" s="57"/>
      <c r="L17" s="23"/>
      <c r="M17" s="60" t="e">
        <f t="shared" si="0"/>
        <v>#DIV/0!</v>
      </c>
      <c r="N17" s="38"/>
      <c r="O17" s="40" t="s">
        <v>76</v>
      </c>
      <c r="P17" s="22" t="s">
        <v>17</v>
      </c>
      <c r="Q17" s="142"/>
    </row>
    <row r="18" spans="1:17">
      <c r="A18" s="3"/>
      <c r="B18" s="3"/>
      <c r="C18" s="3"/>
      <c r="D18" s="3"/>
      <c r="E18" s="43"/>
      <c r="F18" s="40"/>
      <c r="G18" s="187"/>
      <c r="H18" s="23"/>
      <c r="I18" s="5"/>
      <c r="J18" s="40"/>
      <c r="K18" s="57"/>
      <c r="L18" s="23"/>
      <c r="M18" s="60" t="e">
        <f t="shared" si="0"/>
        <v>#DIV/0!</v>
      </c>
      <c r="N18" s="38"/>
      <c r="O18" s="40" t="s">
        <v>76</v>
      </c>
      <c r="P18" s="22" t="s">
        <v>17</v>
      </c>
      <c r="Q18" s="142"/>
    </row>
    <row r="19" spans="1:17">
      <c r="A19" s="109"/>
      <c r="B19" s="109"/>
      <c r="C19" s="109"/>
      <c r="D19" s="109"/>
      <c r="E19" s="107"/>
      <c r="F19" s="40"/>
      <c r="G19" s="188"/>
      <c r="H19" s="110"/>
      <c r="I19" s="111"/>
      <c r="J19" s="103"/>
      <c r="K19" s="112"/>
      <c r="L19" s="110"/>
      <c r="M19" s="60" t="e">
        <f t="shared" si="0"/>
        <v>#DIV/0!</v>
      </c>
      <c r="N19" s="113"/>
      <c r="O19" s="40" t="s">
        <v>76</v>
      </c>
      <c r="P19" s="108" t="s">
        <v>17</v>
      </c>
      <c r="Q19" s="142"/>
    </row>
    <row r="20" spans="1:17">
      <c r="A20" s="3"/>
      <c r="B20" s="3"/>
      <c r="C20" s="3"/>
      <c r="D20" s="3"/>
      <c r="E20" s="43"/>
      <c r="F20" s="40"/>
      <c r="G20" s="187"/>
      <c r="H20" s="23"/>
      <c r="I20" s="47"/>
      <c r="J20" s="40"/>
      <c r="K20" s="219"/>
      <c r="L20" s="23"/>
      <c r="M20" s="60" t="e">
        <f t="shared" si="0"/>
        <v>#DIV/0!</v>
      </c>
      <c r="N20" s="3"/>
      <c r="O20" s="40" t="s">
        <v>76</v>
      </c>
      <c r="P20" s="22" t="s">
        <v>17</v>
      </c>
      <c r="Q20" s="142"/>
    </row>
    <row r="21" spans="1:17">
      <c r="A21" s="72"/>
      <c r="B21" s="72"/>
      <c r="C21" s="72"/>
      <c r="D21" s="72"/>
      <c r="E21" s="76"/>
      <c r="F21" s="76"/>
      <c r="G21" s="53"/>
      <c r="H21" s="53"/>
      <c r="I21" s="52"/>
      <c r="J21" s="76"/>
      <c r="K21" s="79"/>
      <c r="L21" s="53"/>
      <c r="M21" s="80"/>
      <c r="N21" s="72"/>
      <c r="O21" s="172"/>
      <c r="P21" s="26"/>
    </row>
    <row r="22" spans="1:17">
      <c r="A22" s="72"/>
      <c r="B22" s="72"/>
      <c r="C22" s="72"/>
      <c r="D22" s="72"/>
      <c r="E22" s="76"/>
      <c r="F22" s="76"/>
      <c r="G22" s="53"/>
      <c r="H22" s="53"/>
      <c r="I22" s="52"/>
      <c r="J22" s="76"/>
      <c r="K22" s="79"/>
      <c r="L22" s="53"/>
      <c r="M22" s="80"/>
      <c r="N22" s="72"/>
      <c r="O22" s="172"/>
      <c r="P22" s="26"/>
    </row>
    <row r="23" spans="1:17">
      <c r="A23" s="72"/>
      <c r="B23" s="72"/>
      <c r="C23" s="72"/>
      <c r="D23" s="72"/>
      <c r="E23" s="76"/>
      <c r="F23" s="76"/>
      <c r="G23" s="53"/>
      <c r="H23" s="53"/>
      <c r="I23" s="52"/>
      <c r="J23" s="76"/>
      <c r="K23" s="79"/>
      <c r="L23" s="53"/>
      <c r="M23" s="80"/>
      <c r="N23" s="72"/>
      <c r="O23" s="172"/>
      <c r="P23" s="26"/>
    </row>
    <row r="24" spans="1:17">
      <c r="A24" s="72"/>
      <c r="B24" s="72"/>
      <c r="C24" s="72"/>
      <c r="D24" s="72"/>
      <c r="E24" s="76"/>
      <c r="F24" s="76"/>
      <c r="G24" s="53"/>
      <c r="H24" s="53"/>
      <c r="I24" s="52"/>
      <c r="J24" s="76"/>
      <c r="K24" s="79"/>
      <c r="L24" s="53"/>
      <c r="M24" s="80"/>
      <c r="N24" s="72"/>
      <c r="O24" s="172"/>
      <c r="P24" s="26"/>
    </row>
    <row r="25" spans="1:17">
      <c r="A25" s="72"/>
      <c r="B25" s="72"/>
      <c r="C25" s="72"/>
      <c r="D25" s="72"/>
      <c r="E25" s="76"/>
      <c r="F25" s="76"/>
      <c r="G25" s="53"/>
      <c r="H25" s="53"/>
      <c r="I25" s="52"/>
      <c r="J25" s="76"/>
      <c r="K25" s="79"/>
      <c r="L25" s="53"/>
      <c r="M25" s="80"/>
      <c r="N25" s="72"/>
      <c r="O25" s="172"/>
      <c r="P25" s="26"/>
    </row>
    <row r="26" spans="1:17">
      <c r="A26" s="72"/>
      <c r="B26" s="72"/>
      <c r="C26" s="72"/>
      <c r="D26" s="72"/>
      <c r="E26" s="76"/>
      <c r="F26" s="76"/>
      <c r="G26" s="53"/>
      <c r="H26" s="53"/>
      <c r="I26" s="52"/>
      <c r="J26" s="76"/>
      <c r="K26" s="79"/>
      <c r="L26" s="53"/>
      <c r="M26" s="80"/>
      <c r="N26" s="72"/>
      <c r="O26" s="172"/>
      <c r="P26" s="26"/>
    </row>
    <row r="27" spans="1:17">
      <c r="A27" s="72"/>
      <c r="B27" s="72"/>
      <c r="C27" s="72"/>
      <c r="D27" s="72"/>
      <c r="E27" s="76"/>
      <c r="F27" s="76"/>
      <c r="G27" s="53"/>
      <c r="H27" s="53"/>
      <c r="I27" s="52"/>
      <c r="J27" s="76"/>
      <c r="K27" s="79"/>
      <c r="L27" s="53"/>
      <c r="M27" s="80"/>
      <c r="N27" s="72"/>
      <c r="O27" s="172"/>
      <c r="P27" s="26"/>
    </row>
    <row r="28" spans="1:17">
      <c r="A28" s="72"/>
      <c r="B28" s="72"/>
      <c r="C28" s="72"/>
      <c r="D28" s="72"/>
      <c r="E28" s="76"/>
      <c r="F28" s="76"/>
      <c r="G28" s="53"/>
      <c r="H28" s="53"/>
      <c r="I28" s="52"/>
      <c r="J28" s="76"/>
      <c r="K28" s="79"/>
      <c r="L28" s="53"/>
      <c r="M28" s="80"/>
      <c r="N28" s="72"/>
      <c r="O28" s="172"/>
      <c r="P28" s="26"/>
    </row>
    <row r="29" spans="1:17">
      <c r="A29" s="72"/>
      <c r="B29" s="72"/>
      <c r="C29" s="72"/>
      <c r="D29" s="72"/>
      <c r="E29" s="76"/>
      <c r="F29" s="76"/>
      <c r="G29" s="53"/>
      <c r="H29" s="53"/>
      <c r="I29" s="52"/>
      <c r="J29" s="76"/>
      <c r="K29" s="79"/>
      <c r="L29" s="53"/>
      <c r="M29" s="80"/>
      <c r="N29" s="72"/>
      <c r="O29" s="172"/>
      <c r="P29" s="26"/>
    </row>
    <row r="30" spans="1:17">
      <c r="A30" s="72"/>
      <c r="B30" s="72"/>
      <c r="C30" s="72"/>
      <c r="D30" s="72"/>
      <c r="E30" s="76"/>
      <c r="F30" s="76"/>
      <c r="G30" s="53"/>
      <c r="H30" s="53"/>
      <c r="I30" s="52"/>
      <c r="J30" s="76"/>
      <c r="K30" s="79"/>
      <c r="L30" s="53"/>
      <c r="M30" s="80"/>
      <c r="N30" s="72"/>
      <c r="O30" s="172"/>
      <c r="P30" s="26"/>
    </row>
    <row r="31" spans="1:17">
      <c r="A31" s="72"/>
      <c r="B31" s="72"/>
      <c r="C31" s="72"/>
      <c r="D31" s="72"/>
      <c r="E31" s="76"/>
      <c r="F31" s="76"/>
      <c r="G31" s="53"/>
      <c r="H31" s="53"/>
      <c r="I31" s="52"/>
      <c r="J31" s="76"/>
      <c r="K31" s="79"/>
      <c r="L31" s="53"/>
      <c r="M31" s="80"/>
      <c r="N31" s="72"/>
      <c r="O31" s="172"/>
      <c r="P31" s="26"/>
    </row>
    <row r="32" spans="1:17">
      <c r="A32" s="72"/>
      <c r="B32" s="72"/>
      <c r="C32" s="72"/>
      <c r="D32" s="72"/>
      <c r="E32" s="76"/>
      <c r="F32" s="76"/>
      <c r="G32" s="53"/>
      <c r="H32" s="53"/>
      <c r="I32" s="52"/>
      <c r="J32" s="76"/>
      <c r="K32" s="79"/>
      <c r="L32" s="53"/>
      <c r="M32" s="80"/>
      <c r="N32" s="72"/>
      <c r="O32" s="172"/>
      <c r="P32" s="26"/>
    </row>
    <row r="33" spans="1:16">
      <c r="A33" s="72"/>
      <c r="B33" s="72"/>
      <c r="C33" s="72"/>
      <c r="D33" s="72"/>
      <c r="E33" s="76"/>
      <c r="F33" s="76"/>
      <c r="G33" s="53"/>
      <c r="H33" s="53"/>
      <c r="I33" s="52"/>
      <c r="J33" s="76"/>
      <c r="K33" s="79"/>
      <c r="L33" s="53"/>
      <c r="M33" s="80"/>
      <c r="N33" s="72"/>
      <c r="O33" s="172"/>
      <c r="P33" s="26"/>
    </row>
    <row r="34" spans="1:16">
      <c r="C34" s="72"/>
      <c r="D34" s="72"/>
      <c r="E34" s="76"/>
      <c r="F34" s="76"/>
      <c r="G34" s="53"/>
      <c r="H34" s="53"/>
      <c r="I34" s="52"/>
      <c r="J34" s="76"/>
      <c r="K34" s="79"/>
      <c r="L34" s="53"/>
      <c r="M34" s="80"/>
      <c r="N34" s="72"/>
      <c r="O34" s="172"/>
      <c r="P34" s="26"/>
    </row>
    <row r="35" spans="1:16">
      <c r="C35" s="72"/>
      <c r="D35" s="72"/>
      <c r="E35" s="76"/>
      <c r="F35" s="76"/>
      <c r="G35" s="53"/>
      <c r="H35" s="53"/>
      <c r="I35" s="52"/>
      <c r="J35" s="76"/>
      <c r="K35" s="79"/>
      <c r="L35" s="53"/>
      <c r="M35" s="80"/>
      <c r="N35" s="72"/>
      <c r="O35" s="172"/>
      <c r="P35" s="26"/>
    </row>
    <row r="36" spans="1:16">
      <c r="C36" s="72"/>
      <c r="D36" s="72"/>
      <c r="E36" s="76"/>
      <c r="F36" s="76"/>
      <c r="G36" s="53"/>
      <c r="H36" s="53"/>
      <c r="I36" s="52"/>
      <c r="J36" s="76"/>
      <c r="K36" s="79"/>
      <c r="L36" s="53"/>
      <c r="M36" s="80"/>
      <c r="N36" s="72"/>
      <c r="O36" s="172"/>
      <c r="P36" s="26"/>
    </row>
    <row r="37" spans="1:16">
      <c r="C37" s="72"/>
      <c r="D37" s="72"/>
      <c r="E37" s="76"/>
      <c r="F37" s="76"/>
      <c r="G37" s="53"/>
      <c r="H37" s="53"/>
      <c r="I37" s="52"/>
      <c r="J37" s="76"/>
      <c r="K37" s="79"/>
      <c r="L37" s="53"/>
      <c r="M37" s="80"/>
      <c r="N37" s="72"/>
      <c r="O37" s="172"/>
      <c r="P37" s="26"/>
    </row>
    <row r="38" spans="1:16">
      <c r="C38" s="72"/>
      <c r="D38" s="72"/>
      <c r="E38" s="76"/>
      <c r="F38" s="76"/>
      <c r="G38" s="53"/>
      <c r="H38" s="53"/>
      <c r="I38" s="52"/>
      <c r="J38" s="76"/>
      <c r="K38" s="79"/>
      <c r="L38" s="53"/>
      <c r="M38" s="80"/>
      <c r="N38" s="72"/>
      <c r="O38" s="172"/>
      <c r="P38" s="26"/>
    </row>
    <row r="39" spans="1:16">
      <c r="C39" s="72"/>
      <c r="D39" s="72"/>
      <c r="E39" s="76"/>
      <c r="F39" s="76"/>
      <c r="G39" s="53"/>
      <c r="H39" s="53"/>
      <c r="I39" s="52"/>
      <c r="J39" s="76"/>
      <c r="K39" s="79"/>
      <c r="L39" s="53"/>
      <c r="M39" s="80"/>
      <c r="N39" s="72"/>
      <c r="O39" s="172"/>
      <c r="P39" s="26"/>
    </row>
    <row r="40" spans="1:16">
      <c r="C40" s="72"/>
      <c r="D40" s="72"/>
      <c r="E40" s="76"/>
      <c r="F40" s="76"/>
      <c r="G40" s="53"/>
      <c r="H40" s="53"/>
      <c r="I40" s="52"/>
      <c r="J40" s="76"/>
      <c r="K40" s="79"/>
      <c r="L40" s="53"/>
      <c r="M40" s="80"/>
      <c r="N40" s="72"/>
      <c r="O40" s="172"/>
      <c r="P40" s="26"/>
    </row>
    <row r="41" spans="1:16">
      <c r="C41" s="72"/>
      <c r="D41" s="72"/>
      <c r="E41" s="76"/>
      <c r="F41" s="76"/>
      <c r="G41" s="53"/>
      <c r="H41" s="53"/>
      <c r="I41" s="52"/>
      <c r="J41" s="76"/>
      <c r="K41" s="79"/>
      <c r="L41" s="53"/>
      <c r="M41" s="80"/>
      <c r="N41" s="72"/>
      <c r="O41" s="172"/>
      <c r="P41" s="26"/>
    </row>
    <row r="42" spans="1:16">
      <c r="C42" s="72"/>
      <c r="D42" s="72"/>
      <c r="E42" s="76"/>
      <c r="F42" s="76"/>
      <c r="G42" s="53"/>
      <c r="H42" s="53"/>
      <c r="I42" s="52"/>
      <c r="J42" s="76"/>
      <c r="K42" s="79"/>
      <c r="L42" s="53"/>
      <c r="M42" s="80"/>
      <c r="N42" s="72"/>
      <c r="O42" s="172"/>
      <c r="P42" s="26"/>
    </row>
    <row r="43" spans="1:16">
      <c r="C43" s="72"/>
      <c r="D43" s="72"/>
      <c r="E43" s="76"/>
      <c r="F43" s="76"/>
      <c r="G43" s="53"/>
      <c r="H43" s="53"/>
      <c r="I43" s="52"/>
      <c r="J43" s="76"/>
      <c r="K43" s="79"/>
      <c r="L43" s="53"/>
      <c r="M43" s="80"/>
      <c r="N43" s="72"/>
      <c r="O43" s="172"/>
      <c r="P43" s="26"/>
    </row>
    <row r="44" spans="1:16">
      <c r="C44" s="72"/>
      <c r="D44" s="72"/>
      <c r="E44" s="76"/>
      <c r="F44" s="76"/>
      <c r="G44" s="53"/>
      <c r="H44" s="53"/>
      <c r="I44" s="52"/>
      <c r="J44" s="76"/>
      <c r="K44" s="79"/>
      <c r="L44" s="53"/>
      <c r="M44" s="80"/>
      <c r="N44" s="72"/>
      <c r="O44" s="172"/>
      <c r="P44" s="26"/>
    </row>
    <row r="45" spans="1:16">
      <c r="C45" s="72"/>
      <c r="D45" s="72"/>
      <c r="E45" s="76"/>
      <c r="F45" s="76"/>
      <c r="G45" s="53"/>
      <c r="H45" s="53"/>
      <c r="I45" s="52"/>
      <c r="J45" s="76"/>
      <c r="K45" s="79"/>
      <c r="L45" s="53"/>
      <c r="M45" s="80"/>
      <c r="N45" s="72"/>
      <c r="O45" s="172"/>
      <c r="P45" s="26"/>
    </row>
    <row r="46" spans="1:16">
      <c r="C46" s="72"/>
      <c r="D46" s="72"/>
      <c r="E46" s="76"/>
      <c r="F46" s="76"/>
      <c r="G46" s="53"/>
      <c r="H46" s="53"/>
      <c r="I46" s="52"/>
      <c r="J46" s="76"/>
      <c r="K46" s="79"/>
      <c r="L46" s="53"/>
      <c r="M46" s="80"/>
      <c r="N46" s="72"/>
      <c r="O46" s="172"/>
      <c r="P46" s="26"/>
    </row>
    <row r="47" spans="1:16">
      <c r="C47" s="72"/>
      <c r="D47" s="72"/>
      <c r="E47" s="76"/>
      <c r="F47" s="76"/>
      <c r="G47" s="53"/>
      <c r="H47" s="53"/>
      <c r="I47" s="52"/>
      <c r="J47" s="76"/>
      <c r="K47" s="79"/>
      <c r="L47" s="53"/>
      <c r="M47" s="80"/>
      <c r="N47" s="72"/>
      <c r="O47" s="172"/>
      <c r="P47" s="26"/>
    </row>
    <row r="48" spans="1:16">
      <c r="C48" s="72"/>
      <c r="D48" s="72"/>
      <c r="E48" s="76"/>
      <c r="F48" s="76"/>
      <c r="G48" s="53"/>
      <c r="H48" s="53"/>
      <c r="I48" s="52"/>
      <c r="J48" s="76"/>
      <c r="K48" s="79"/>
      <c r="L48" s="53"/>
      <c r="M48" s="80"/>
      <c r="N48" s="72"/>
      <c r="O48" s="172"/>
      <c r="P48" s="26"/>
    </row>
    <row r="49" spans="3:16">
      <c r="C49" s="72"/>
      <c r="D49" s="72"/>
      <c r="E49" s="76"/>
      <c r="F49" s="76"/>
      <c r="G49" s="53"/>
      <c r="H49" s="53"/>
      <c r="I49" s="52"/>
      <c r="J49" s="76"/>
      <c r="K49" s="79"/>
      <c r="L49" s="53"/>
      <c r="M49" s="80"/>
      <c r="N49" s="72"/>
      <c r="O49" s="172"/>
      <c r="P49" s="26"/>
    </row>
    <row r="50" spans="3:16">
      <c r="C50" s="72"/>
      <c r="D50" s="72"/>
      <c r="E50" s="76"/>
      <c r="F50" s="76"/>
      <c r="G50" s="53"/>
      <c r="H50" s="53"/>
      <c r="I50" s="52"/>
      <c r="J50" s="76"/>
      <c r="K50" s="79"/>
      <c r="L50" s="53"/>
      <c r="M50" s="80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7"/>
  <dimension ref="A1:Q52"/>
  <sheetViews>
    <sheetView workbookViewId="0">
      <selection activeCell="J11" sqref="J11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5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59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40" t="s">
        <v>424</v>
      </c>
      <c r="C2" s="40" t="s">
        <v>425</v>
      </c>
      <c r="D2" s="40" t="s">
        <v>426</v>
      </c>
      <c r="E2" s="43" t="s">
        <v>100</v>
      </c>
      <c r="F2" s="40" t="s">
        <v>154</v>
      </c>
      <c r="G2" s="184">
        <v>10</v>
      </c>
      <c r="H2" s="40">
        <v>10</v>
      </c>
      <c r="I2" s="40"/>
      <c r="J2" s="40" t="s">
        <v>127</v>
      </c>
      <c r="K2" s="173">
        <v>27</v>
      </c>
      <c r="L2" s="40">
        <v>110</v>
      </c>
      <c r="M2" s="62">
        <f t="shared" ref="M2:M20" si="0">K2/L2</f>
        <v>0.24545454545454545</v>
      </c>
      <c r="N2" s="40" t="s">
        <v>58</v>
      </c>
      <c r="O2" s="40" t="s">
        <v>76</v>
      </c>
      <c r="P2" s="40" t="s">
        <v>23</v>
      </c>
      <c r="Q2" s="142"/>
    </row>
    <row r="3" spans="1:17" ht="13.5" customHeight="1">
      <c r="A3" s="43">
        <v>2</v>
      </c>
      <c r="B3" s="40" t="s">
        <v>172</v>
      </c>
      <c r="C3" s="40" t="s">
        <v>173</v>
      </c>
      <c r="D3" s="40" t="s">
        <v>174</v>
      </c>
      <c r="E3" s="43" t="s">
        <v>100</v>
      </c>
      <c r="F3" s="40" t="s">
        <v>154</v>
      </c>
      <c r="G3" s="184">
        <v>11</v>
      </c>
      <c r="H3" s="40">
        <v>11</v>
      </c>
      <c r="I3" s="40"/>
      <c r="J3" s="40" t="s">
        <v>127</v>
      </c>
      <c r="K3" s="173">
        <v>23</v>
      </c>
      <c r="L3" s="40">
        <v>155</v>
      </c>
      <c r="M3" s="62">
        <f t="shared" si="0"/>
        <v>0.14838709677419354</v>
      </c>
      <c r="N3" s="40" t="s">
        <v>58</v>
      </c>
      <c r="O3" s="40" t="s">
        <v>76</v>
      </c>
      <c r="P3" s="40" t="s">
        <v>23</v>
      </c>
      <c r="Q3" s="142"/>
    </row>
    <row r="4" spans="1:17" ht="13.5" customHeight="1">
      <c r="A4" s="43">
        <v>3</v>
      </c>
      <c r="B4" s="22" t="s">
        <v>179</v>
      </c>
      <c r="C4" s="40" t="s">
        <v>274</v>
      </c>
      <c r="D4" s="40" t="s">
        <v>181</v>
      </c>
      <c r="E4" s="43" t="s">
        <v>99</v>
      </c>
      <c r="F4" s="40" t="s">
        <v>154</v>
      </c>
      <c r="G4" s="184">
        <v>11</v>
      </c>
      <c r="H4" s="40">
        <v>11</v>
      </c>
      <c r="I4" s="40"/>
      <c r="J4" s="40" t="s">
        <v>127</v>
      </c>
      <c r="K4" s="173">
        <v>17</v>
      </c>
      <c r="L4" s="40">
        <v>155</v>
      </c>
      <c r="M4" s="62">
        <f t="shared" si="0"/>
        <v>0.10967741935483871</v>
      </c>
      <c r="N4" s="40" t="s">
        <v>58</v>
      </c>
      <c r="O4" s="40" t="s">
        <v>76</v>
      </c>
      <c r="P4" s="40" t="s">
        <v>23</v>
      </c>
      <c r="Q4" s="142"/>
    </row>
    <row r="5" spans="1:17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62" t="e">
        <f t="shared" si="0"/>
        <v>#DIV/0!</v>
      </c>
      <c r="N5" s="40"/>
      <c r="O5" s="40" t="s">
        <v>76</v>
      </c>
      <c r="P5" s="40" t="s">
        <v>23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62" t="e">
        <f t="shared" si="0"/>
        <v>#DIV/0!</v>
      </c>
      <c r="N6" s="40"/>
      <c r="O6" s="40" t="s">
        <v>76</v>
      </c>
      <c r="P6" s="40" t="s">
        <v>23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62" t="e">
        <f t="shared" si="0"/>
        <v>#DIV/0!</v>
      </c>
      <c r="N7" s="40"/>
      <c r="O7" s="40" t="s">
        <v>76</v>
      </c>
      <c r="P7" s="40" t="s">
        <v>23</v>
      </c>
      <c r="Q7" s="142"/>
    </row>
    <row r="8" spans="1:17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62" t="e">
        <f t="shared" si="0"/>
        <v>#DIV/0!</v>
      </c>
      <c r="N8" s="40"/>
      <c r="O8" s="40" t="s">
        <v>76</v>
      </c>
      <c r="P8" s="40" t="s">
        <v>23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62" t="e">
        <f t="shared" si="0"/>
        <v>#DIV/0!</v>
      </c>
      <c r="N9" s="40"/>
      <c r="O9" s="40" t="s">
        <v>76</v>
      </c>
      <c r="P9" s="40" t="s">
        <v>23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62" t="e">
        <f t="shared" si="0"/>
        <v>#DIV/0!</v>
      </c>
      <c r="N10" s="40"/>
      <c r="O10" s="40" t="s">
        <v>76</v>
      </c>
      <c r="P10" s="40" t="s">
        <v>23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62" t="e">
        <f t="shared" si="0"/>
        <v>#DIV/0!</v>
      </c>
      <c r="N11" s="40"/>
      <c r="O11" s="40" t="s">
        <v>76</v>
      </c>
      <c r="P11" s="40" t="s">
        <v>23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62" t="e">
        <f t="shared" si="0"/>
        <v>#DIV/0!</v>
      </c>
      <c r="N12" s="40"/>
      <c r="O12" s="40" t="s">
        <v>76</v>
      </c>
      <c r="P12" s="40" t="s">
        <v>23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62" t="e">
        <f t="shared" si="0"/>
        <v>#DIV/0!</v>
      </c>
      <c r="N13" s="40"/>
      <c r="O13" s="40" t="s">
        <v>76</v>
      </c>
      <c r="P13" s="40" t="s">
        <v>23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62" t="e">
        <f t="shared" si="0"/>
        <v>#DIV/0!</v>
      </c>
      <c r="N14" s="40"/>
      <c r="O14" s="40" t="s">
        <v>76</v>
      </c>
      <c r="P14" s="40" t="s">
        <v>23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62" t="e">
        <f t="shared" si="0"/>
        <v>#DIV/0!</v>
      </c>
      <c r="N15" s="40"/>
      <c r="O15" s="40" t="s">
        <v>76</v>
      </c>
      <c r="P15" s="40" t="s">
        <v>23</v>
      </c>
      <c r="Q15" s="142"/>
    </row>
    <row r="16" spans="1:17">
      <c r="A16" s="40"/>
      <c r="B16" s="40"/>
      <c r="C16" s="40"/>
      <c r="D16" s="40"/>
      <c r="E16" s="43"/>
      <c r="F16" s="40"/>
      <c r="G16" s="185"/>
      <c r="H16" s="56"/>
      <c r="I16" s="42"/>
      <c r="J16" s="40"/>
      <c r="K16" s="61"/>
      <c r="L16" s="56"/>
      <c r="M16" s="62" t="e">
        <f t="shared" si="0"/>
        <v>#DIV/0!</v>
      </c>
      <c r="N16" s="43"/>
      <c r="O16" s="40" t="s">
        <v>76</v>
      </c>
      <c r="P16" s="40" t="s">
        <v>23</v>
      </c>
      <c r="Q16" s="142"/>
    </row>
    <row r="17" spans="1:17">
      <c r="A17" s="40"/>
      <c r="B17" s="40"/>
      <c r="C17" s="40"/>
      <c r="D17" s="40"/>
      <c r="E17" s="43"/>
      <c r="F17" s="40"/>
      <c r="G17" s="185"/>
      <c r="H17" s="56"/>
      <c r="I17" s="42"/>
      <c r="J17" s="40"/>
      <c r="K17" s="61"/>
      <c r="L17" s="56"/>
      <c r="M17" s="62" t="e">
        <f t="shared" si="0"/>
        <v>#DIV/0!</v>
      </c>
      <c r="N17" s="43"/>
      <c r="O17" s="40" t="s">
        <v>76</v>
      </c>
      <c r="P17" s="40" t="s">
        <v>23</v>
      </c>
      <c r="Q17" s="142"/>
    </row>
    <row r="18" spans="1:17">
      <c r="A18" s="40"/>
      <c r="B18" s="40"/>
      <c r="C18" s="40"/>
      <c r="D18" s="40"/>
      <c r="E18" s="43"/>
      <c r="F18" s="40"/>
      <c r="G18" s="185"/>
      <c r="H18" s="56"/>
      <c r="I18" s="42"/>
      <c r="J18" s="40"/>
      <c r="K18" s="61"/>
      <c r="L18" s="56"/>
      <c r="M18" s="62" t="e">
        <f t="shared" si="0"/>
        <v>#DIV/0!</v>
      </c>
      <c r="N18" s="43"/>
      <c r="O18" s="40" t="s">
        <v>76</v>
      </c>
      <c r="P18" s="40" t="s">
        <v>23</v>
      </c>
      <c r="Q18" s="142"/>
    </row>
    <row r="19" spans="1:17">
      <c r="A19" s="103"/>
      <c r="B19" s="103"/>
      <c r="C19" s="103"/>
      <c r="D19" s="103"/>
      <c r="E19" s="107"/>
      <c r="F19" s="40"/>
      <c r="G19" s="186"/>
      <c r="H19" s="104"/>
      <c r="I19" s="105"/>
      <c r="J19" s="103"/>
      <c r="K19" s="106"/>
      <c r="L19" s="104"/>
      <c r="M19" s="62" t="e">
        <f t="shared" si="0"/>
        <v>#DIV/0!</v>
      </c>
      <c r="N19" s="107"/>
      <c r="O19" s="40" t="s">
        <v>76</v>
      </c>
      <c r="P19" s="103" t="s">
        <v>23</v>
      </c>
      <c r="Q19" s="142"/>
    </row>
    <row r="20" spans="1:17">
      <c r="A20" s="40"/>
      <c r="B20" s="40"/>
      <c r="C20" s="40"/>
      <c r="D20" s="40"/>
      <c r="E20" s="43"/>
      <c r="F20" s="40"/>
      <c r="G20" s="185"/>
      <c r="H20" s="56"/>
      <c r="I20" s="213"/>
      <c r="J20" s="40"/>
      <c r="K20" s="218"/>
      <c r="L20" s="56"/>
      <c r="M20" s="62" t="e">
        <f t="shared" si="0"/>
        <v>#DIV/0!</v>
      </c>
      <c r="N20" s="40"/>
      <c r="O20" s="40" t="s">
        <v>76</v>
      </c>
      <c r="P20" s="40" t="s">
        <v>23</v>
      </c>
      <c r="Q20" s="142"/>
    </row>
    <row r="21" spans="1:17">
      <c r="A21" s="76"/>
      <c r="B21" s="76"/>
      <c r="C21" s="76"/>
      <c r="D21" s="76"/>
      <c r="E21" s="76"/>
      <c r="F21" s="76"/>
      <c r="G21" s="126"/>
      <c r="H21" s="126"/>
      <c r="I21" s="82"/>
      <c r="J21" s="76"/>
      <c r="K21" s="127"/>
      <c r="L21" s="126"/>
      <c r="M21" s="128"/>
      <c r="N21" s="76"/>
      <c r="O21" s="172"/>
      <c r="P21" s="76"/>
    </row>
    <row r="22" spans="1:17">
      <c r="A22" s="76"/>
      <c r="B22" s="76"/>
      <c r="C22" s="76"/>
      <c r="D22" s="76"/>
      <c r="E22" s="76"/>
      <c r="F22" s="76"/>
      <c r="G22" s="126"/>
      <c r="H22" s="126"/>
      <c r="I22" s="82"/>
      <c r="J22" s="76"/>
      <c r="K22" s="127"/>
      <c r="L22" s="126"/>
      <c r="M22" s="128"/>
      <c r="N22" s="76"/>
      <c r="O22" s="172"/>
      <c r="P22" s="76"/>
    </row>
    <row r="23" spans="1:17">
      <c r="A23" s="76"/>
      <c r="B23" s="76"/>
      <c r="C23" s="76"/>
      <c r="D23" s="76"/>
      <c r="E23" s="76"/>
      <c r="F23" s="76"/>
      <c r="G23" s="126"/>
      <c r="H23" s="126"/>
      <c r="I23" s="82"/>
      <c r="J23" s="76"/>
      <c r="K23" s="127"/>
      <c r="L23" s="126"/>
      <c r="M23" s="128"/>
      <c r="N23" s="76"/>
      <c r="O23" s="172"/>
      <c r="P23" s="76"/>
    </row>
    <row r="24" spans="1:17">
      <c r="A24" s="76"/>
      <c r="B24" s="76"/>
      <c r="C24" s="76"/>
      <c r="D24" s="76"/>
      <c r="E24" s="76"/>
      <c r="F24" s="76"/>
      <c r="G24" s="126"/>
      <c r="H24" s="126"/>
      <c r="I24" s="82"/>
      <c r="J24" s="76"/>
      <c r="K24" s="127"/>
      <c r="L24" s="126"/>
      <c r="M24" s="128"/>
      <c r="N24" s="76"/>
      <c r="O24" s="172"/>
      <c r="P24" s="76"/>
    </row>
    <row r="25" spans="1:17">
      <c r="A25" s="76"/>
      <c r="B25" s="76"/>
      <c r="C25" s="76"/>
      <c r="D25" s="76"/>
      <c r="E25" s="76"/>
      <c r="F25" s="76"/>
      <c r="G25" s="126"/>
      <c r="H25" s="126"/>
      <c r="I25" s="82"/>
      <c r="J25" s="76"/>
      <c r="K25" s="127"/>
      <c r="L25" s="126"/>
      <c r="M25" s="128"/>
      <c r="N25" s="76"/>
      <c r="O25" s="172"/>
      <c r="P25" s="76"/>
    </row>
    <row r="26" spans="1:17">
      <c r="A26" s="76"/>
      <c r="B26" s="76"/>
      <c r="C26" s="76"/>
      <c r="D26" s="76"/>
      <c r="E26" s="76"/>
      <c r="F26" s="76"/>
      <c r="G26" s="126"/>
      <c r="H26" s="126"/>
      <c r="I26" s="82"/>
      <c r="J26" s="76"/>
      <c r="K26" s="127"/>
      <c r="L26" s="126"/>
      <c r="M26" s="128"/>
      <c r="N26" s="76"/>
      <c r="O26" s="172"/>
      <c r="P26" s="76"/>
    </row>
    <row r="27" spans="1:17">
      <c r="A27" s="76"/>
      <c r="B27" s="76"/>
      <c r="C27" s="76"/>
      <c r="D27" s="76"/>
      <c r="E27" s="76"/>
      <c r="F27" s="76"/>
      <c r="G27" s="126"/>
      <c r="H27" s="126"/>
      <c r="I27" s="82"/>
      <c r="J27" s="76"/>
      <c r="K27" s="127"/>
      <c r="L27" s="126"/>
      <c r="M27" s="128"/>
      <c r="N27" s="76"/>
      <c r="O27" s="172"/>
      <c r="P27" s="76"/>
    </row>
    <row r="28" spans="1:17">
      <c r="A28" s="76"/>
      <c r="B28" s="76"/>
      <c r="C28" s="76"/>
      <c r="D28" s="76"/>
      <c r="E28" s="76"/>
      <c r="F28" s="76"/>
      <c r="G28" s="126"/>
      <c r="H28" s="126"/>
      <c r="I28" s="82"/>
      <c r="J28" s="76"/>
      <c r="K28" s="127"/>
      <c r="L28" s="126"/>
      <c r="M28" s="128"/>
      <c r="N28" s="76"/>
      <c r="O28" s="172"/>
      <c r="P28" s="76"/>
    </row>
    <row r="29" spans="1:17">
      <c r="A29" s="76"/>
      <c r="B29" s="76"/>
      <c r="C29" s="76"/>
      <c r="D29" s="76"/>
      <c r="E29" s="76"/>
      <c r="F29" s="76"/>
      <c r="G29" s="126"/>
      <c r="H29" s="126"/>
      <c r="I29" s="82"/>
      <c r="J29" s="76"/>
      <c r="K29" s="127"/>
      <c r="L29" s="126"/>
      <c r="M29" s="128"/>
      <c r="N29" s="76"/>
      <c r="O29" s="172"/>
      <c r="P29" s="76"/>
    </row>
    <row r="30" spans="1:17">
      <c r="A30" s="76"/>
      <c r="B30" s="76"/>
      <c r="C30" s="76"/>
      <c r="D30" s="76"/>
      <c r="E30" s="76"/>
      <c r="F30" s="76"/>
      <c r="G30" s="126"/>
      <c r="H30" s="126"/>
      <c r="I30" s="82"/>
      <c r="J30" s="76"/>
      <c r="K30" s="127"/>
      <c r="L30" s="126"/>
      <c r="M30" s="128"/>
      <c r="N30" s="76"/>
      <c r="O30" s="172"/>
      <c r="P30" s="76"/>
    </row>
    <row r="31" spans="1:17">
      <c r="A31" s="76"/>
      <c r="B31" s="76"/>
      <c r="C31" s="76"/>
      <c r="D31" s="76"/>
      <c r="E31" s="76"/>
      <c r="F31" s="76"/>
      <c r="G31" s="126"/>
      <c r="H31" s="126"/>
      <c r="I31" s="82"/>
      <c r="J31" s="76"/>
      <c r="K31" s="127"/>
      <c r="L31" s="126"/>
      <c r="M31" s="128"/>
      <c r="N31" s="76"/>
      <c r="O31" s="172"/>
      <c r="P31" s="76"/>
    </row>
    <row r="32" spans="1:17">
      <c r="A32" s="76"/>
      <c r="B32" s="76"/>
      <c r="C32" s="76"/>
      <c r="D32" s="76"/>
      <c r="E32" s="76"/>
      <c r="F32" s="76"/>
      <c r="G32" s="126"/>
      <c r="H32" s="126"/>
      <c r="I32" s="82"/>
      <c r="J32" s="76"/>
      <c r="K32" s="127"/>
      <c r="L32" s="126"/>
      <c r="M32" s="128"/>
      <c r="N32" s="76"/>
      <c r="O32" s="172"/>
      <c r="P32" s="76"/>
    </row>
    <row r="33" spans="1:16">
      <c r="A33" s="76"/>
      <c r="B33" s="76"/>
      <c r="C33" s="76"/>
      <c r="D33" s="76"/>
      <c r="E33" s="76"/>
      <c r="F33" s="76"/>
      <c r="G33" s="126"/>
      <c r="H33" s="126"/>
      <c r="I33" s="82"/>
      <c r="J33" s="76"/>
      <c r="K33" s="127"/>
      <c r="L33" s="126"/>
      <c r="M33" s="128"/>
      <c r="N33" s="76"/>
      <c r="O33" s="172"/>
      <c r="P33" s="76"/>
    </row>
    <row r="34" spans="1:16">
      <c r="C34" s="76"/>
      <c r="D34" s="76"/>
      <c r="E34" s="76"/>
      <c r="F34" s="76"/>
      <c r="G34" s="126"/>
      <c r="H34" s="126"/>
      <c r="I34" s="82"/>
      <c r="J34" s="76"/>
      <c r="K34" s="127"/>
      <c r="L34" s="126"/>
      <c r="M34" s="128"/>
      <c r="N34" s="76"/>
      <c r="O34" s="172"/>
      <c r="P34" s="76"/>
    </row>
    <row r="35" spans="1:16">
      <c r="C35" s="76"/>
      <c r="D35" s="76"/>
      <c r="E35" s="76"/>
      <c r="F35" s="76"/>
      <c r="G35" s="126"/>
      <c r="H35" s="126"/>
      <c r="I35" s="82"/>
      <c r="J35" s="76"/>
      <c r="K35" s="127"/>
      <c r="L35" s="126"/>
      <c r="M35" s="128"/>
      <c r="N35" s="76"/>
      <c r="O35" s="172"/>
      <c r="P35" s="76"/>
    </row>
    <row r="36" spans="1:16">
      <c r="C36" s="76"/>
      <c r="D36" s="76"/>
      <c r="E36" s="76"/>
      <c r="F36" s="76"/>
      <c r="G36" s="126"/>
      <c r="H36" s="126"/>
      <c r="I36" s="82"/>
      <c r="J36" s="76"/>
      <c r="K36" s="127"/>
      <c r="L36" s="126"/>
      <c r="M36" s="128"/>
      <c r="N36" s="76"/>
      <c r="O36" s="172"/>
      <c r="P36" s="76"/>
    </row>
    <row r="37" spans="1:16">
      <c r="C37" s="76"/>
      <c r="D37" s="76"/>
      <c r="E37" s="76"/>
      <c r="F37" s="76"/>
      <c r="G37" s="126"/>
      <c r="H37" s="126"/>
      <c r="I37" s="82"/>
      <c r="J37" s="76"/>
      <c r="K37" s="127"/>
      <c r="L37" s="126"/>
      <c r="M37" s="128"/>
      <c r="N37" s="76"/>
      <c r="O37" s="172"/>
      <c r="P37" s="76"/>
    </row>
    <row r="38" spans="1:16">
      <c r="C38" s="76"/>
      <c r="D38" s="76"/>
      <c r="E38" s="76"/>
      <c r="F38" s="76"/>
      <c r="G38" s="126"/>
      <c r="H38" s="126"/>
      <c r="I38" s="82"/>
      <c r="J38" s="76"/>
      <c r="K38" s="127"/>
      <c r="L38" s="126"/>
      <c r="M38" s="128"/>
      <c r="N38" s="76"/>
      <c r="O38" s="172"/>
      <c r="P38" s="76"/>
    </row>
    <row r="39" spans="1:16">
      <c r="C39" s="76"/>
      <c r="D39" s="76"/>
      <c r="E39" s="76"/>
      <c r="F39" s="76"/>
      <c r="G39" s="126"/>
      <c r="H39" s="126"/>
      <c r="I39" s="82"/>
      <c r="J39" s="76"/>
      <c r="K39" s="127"/>
      <c r="L39" s="126"/>
      <c r="M39" s="128"/>
      <c r="N39" s="76"/>
      <c r="O39" s="172"/>
      <c r="P39" s="76"/>
    </row>
    <row r="40" spans="1:16">
      <c r="C40" s="76"/>
      <c r="D40" s="76"/>
      <c r="E40" s="76"/>
      <c r="F40" s="76"/>
      <c r="G40" s="126"/>
      <c r="H40" s="126"/>
      <c r="I40" s="82"/>
      <c r="J40" s="76"/>
      <c r="K40" s="127"/>
      <c r="L40" s="126"/>
      <c r="M40" s="128"/>
      <c r="N40" s="76"/>
      <c r="O40" s="172"/>
      <c r="P40" s="76"/>
    </row>
    <row r="41" spans="1:16">
      <c r="C41" s="76"/>
      <c r="D41" s="76"/>
      <c r="E41" s="76"/>
      <c r="F41" s="76"/>
      <c r="G41" s="126"/>
      <c r="H41" s="126"/>
      <c r="I41" s="82"/>
      <c r="J41" s="76"/>
      <c r="K41" s="127"/>
      <c r="L41" s="126"/>
      <c r="M41" s="128"/>
      <c r="N41" s="76"/>
      <c r="O41" s="172"/>
      <c r="P41" s="76"/>
    </row>
    <row r="42" spans="1:16">
      <c r="C42" s="76"/>
      <c r="D42" s="76"/>
      <c r="E42" s="76"/>
      <c r="F42" s="76"/>
      <c r="G42" s="126"/>
      <c r="H42" s="126"/>
      <c r="I42" s="82"/>
      <c r="J42" s="76"/>
      <c r="K42" s="127"/>
      <c r="L42" s="126"/>
      <c r="M42" s="128"/>
      <c r="N42" s="76"/>
      <c r="O42" s="172"/>
      <c r="P42" s="76"/>
    </row>
    <row r="43" spans="1:16">
      <c r="C43" s="76"/>
      <c r="D43" s="76"/>
      <c r="E43" s="76"/>
      <c r="F43" s="76"/>
      <c r="G43" s="126"/>
      <c r="H43" s="126"/>
      <c r="I43" s="82"/>
      <c r="J43" s="76"/>
      <c r="K43" s="127"/>
      <c r="L43" s="126"/>
      <c r="M43" s="128"/>
      <c r="N43" s="76"/>
      <c r="O43" s="172"/>
      <c r="P43" s="76"/>
    </row>
    <row r="44" spans="1:16">
      <c r="C44" s="76"/>
      <c r="D44" s="76"/>
      <c r="E44" s="76"/>
      <c r="F44" s="76"/>
      <c r="G44" s="126"/>
      <c r="H44" s="126"/>
      <c r="I44" s="82"/>
      <c r="J44" s="76"/>
      <c r="K44" s="127"/>
      <c r="L44" s="126"/>
      <c r="M44" s="128"/>
      <c r="N44" s="76"/>
      <c r="O44" s="172"/>
      <c r="P44" s="76"/>
    </row>
    <row r="45" spans="1:16">
      <c r="C45" s="76"/>
      <c r="D45" s="76"/>
      <c r="E45" s="76"/>
      <c r="F45" s="76"/>
      <c r="G45" s="126"/>
      <c r="H45" s="126"/>
      <c r="I45" s="82"/>
      <c r="J45" s="76"/>
      <c r="K45" s="127"/>
      <c r="L45" s="126"/>
      <c r="M45" s="128"/>
      <c r="N45" s="76"/>
      <c r="O45" s="172"/>
      <c r="P45" s="76"/>
    </row>
    <row r="46" spans="1:16">
      <c r="C46" s="76"/>
      <c r="D46" s="76"/>
      <c r="E46" s="76"/>
      <c r="F46" s="76"/>
      <c r="G46" s="126"/>
      <c r="H46" s="126"/>
      <c r="I46" s="82"/>
      <c r="J46" s="76"/>
      <c r="K46" s="127"/>
      <c r="L46" s="126"/>
      <c r="M46" s="128"/>
      <c r="N46" s="76"/>
      <c r="O46" s="172"/>
      <c r="P46" s="76"/>
    </row>
    <row r="47" spans="1:16">
      <c r="C47" s="76"/>
      <c r="D47" s="76"/>
      <c r="E47" s="76"/>
      <c r="F47" s="76"/>
      <c r="G47" s="126"/>
      <c r="H47" s="126"/>
      <c r="I47" s="82"/>
      <c r="J47" s="76"/>
      <c r="K47" s="127"/>
      <c r="L47" s="126"/>
      <c r="M47" s="128"/>
      <c r="N47" s="76"/>
      <c r="O47" s="172"/>
      <c r="P47" s="76"/>
    </row>
    <row r="48" spans="1:16">
      <c r="C48" s="76"/>
      <c r="D48" s="76"/>
      <c r="E48" s="76"/>
      <c r="F48" s="76"/>
      <c r="G48" s="126"/>
      <c r="H48" s="126"/>
      <c r="I48" s="82"/>
      <c r="J48" s="76"/>
      <c r="K48" s="127"/>
      <c r="L48" s="126"/>
      <c r="M48" s="128"/>
      <c r="N48" s="76"/>
      <c r="O48" s="172"/>
      <c r="P48" s="76"/>
    </row>
    <row r="49" spans="3:16">
      <c r="C49" s="76"/>
      <c r="D49" s="76"/>
      <c r="E49" s="76"/>
      <c r="F49" s="76"/>
      <c r="G49" s="126"/>
      <c r="H49" s="126"/>
      <c r="I49" s="82"/>
      <c r="J49" s="76"/>
      <c r="K49" s="127"/>
      <c r="L49" s="126"/>
      <c r="M49" s="128"/>
      <c r="N49" s="76"/>
      <c r="O49" s="172"/>
      <c r="P49" s="76"/>
    </row>
    <row r="50" spans="3:16">
      <c r="C50" s="76"/>
      <c r="D50" s="76"/>
      <c r="E50" s="76"/>
      <c r="F50" s="76"/>
      <c r="G50" s="126"/>
      <c r="H50" s="126"/>
      <c r="I50" s="82"/>
      <c r="J50" s="76"/>
      <c r="K50" s="127"/>
      <c r="L50" s="126"/>
      <c r="M50" s="128"/>
      <c r="N50" s="76"/>
      <c r="O50" s="172"/>
      <c r="P50" s="7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J29"/>
  <sheetViews>
    <sheetView workbookViewId="0">
      <selection activeCell="C25" sqref="C25"/>
    </sheetView>
  </sheetViews>
  <sheetFormatPr defaultRowHeight="12.75"/>
  <cols>
    <col min="1" max="1" width="14.5703125" customWidth="1"/>
    <col min="3" max="3" width="48" customWidth="1"/>
    <col min="9" max="9" width="29.42578125" customWidth="1"/>
    <col min="10" max="10" width="18.85546875" customWidth="1"/>
  </cols>
  <sheetData>
    <row r="1" spans="1:10">
      <c r="C1" t="s">
        <v>97</v>
      </c>
      <c r="F1" t="s">
        <v>141</v>
      </c>
      <c r="H1" t="s">
        <v>147</v>
      </c>
      <c r="I1" t="s">
        <v>148</v>
      </c>
    </row>
    <row r="2" spans="1:10">
      <c r="A2" s="9" t="s">
        <v>7</v>
      </c>
      <c r="C2" s="66" t="s">
        <v>132</v>
      </c>
      <c r="F2" t="s">
        <v>126</v>
      </c>
      <c r="H2" s="226">
        <v>937004</v>
      </c>
      <c r="I2" s="227" t="s">
        <v>149</v>
      </c>
      <c r="J2" s="227" t="s">
        <v>76</v>
      </c>
    </row>
    <row r="3" spans="1:10">
      <c r="A3" s="10" t="s">
        <v>50</v>
      </c>
      <c r="C3" s="66" t="s">
        <v>133</v>
      </c>
      <c r="F3" t="s">
        <v>127</v>
      </c>
      <c r="H3" s="228">
        <v>937001</v>
      </c>
      <c r="I3" s="229" t="s">
        <v>150</v>
      </c>
      <c r="J3" s="227" t="s">
        <v>76</v>
      </c>
    </row>
    <row r="4" spans="1:10">
      <c r="A4" s="11" t="s">
        <v>49</v>
      </c>
      <c r="C4" s="66" t="s">
        <v>134</v>
      </c>
      <c r="H4" s="228">
        <v>937021</v>
      </c>
      <c r="I4" s="230" t="s">
        <v>151</v>
      </c>
      <c r="J4" s="227" t="s">
        <v>76</v>
      </c>
    </row>
    <row r="5" spans="1:10">
      <c r="A5" s="11" t="s">
        <v>58</v>
      </c>
      <c r="C5" s="208" t="s">
        <v>139</v>
      </c>
      <c r="H5" s="226">
        <v>937013</v>
      </c>
      <c r="I5" s="227" t="s">
        <v>152</v>
      </c>
      <c r="J5" s="227" t="s">
        <v>76</v>
      </c>
    </row>
    <row r="6" spans="1:10">
      <c r="C6" s="208" t="s">
        <v>140</v>
      </c>
      <c r="H6" s="228">
        <v>937012</v>
      </c>
      <c r="I6" s="231" t="s">
        <v>153</v>
      </c>
      <c r="J6" s="227" t="s">
        <v>76</v>
      </c>
    </row>
    <row r="7" spans="1:10">
      <c r="A7" s="7" t="s">
        <v>52</v>
      </c>
      <c r="C7" s="66" t="s">
        <v>138</v>
      </c>
      <c r="H7" s="228">
        <v>937015</v>
      </c>
      <c r="I7" s="231" t="s">
        <v>154</v>
      </c>
      <c r="J7" s="227" t="s">
        <v>76</v>
      </c>
    </row>
    <row r="8" spans="1:10">
      <c r="A8" s="8" t="s">
        <v>99</v>
      </c>
      <c r="C8" s="66" t="s">
        <v>135</v>
      </c>
      <c r="H8" s="228">
        <v>937016</v>
      </c>
      <c r="I8" s="231" t="s">
        <v>155</v>
      </c>
      <c r="J8" s="227" t="s">
        <v>76</v>
      </c>
    </row>
    <row r="9" spans="1:10">
      <c r="A9" s="8" t="s">
        <v>100</v>
      </c>
      <c r="C9" s="66" t="s">
        <v>136</v>
      </c>
      <c r="H9" s="228">
        <v>937017</v>
      </c>
      <c r="I9" s="231" t="s">
        <v>156</v>
      </c>
      <c r="J9" s="227" t="s">
        <v>76</v>
      </c>
    </row>
    <row r="10" spans="1:10">
      <c r="C10" s="66" t="s">
        <v>137</v>
      </c>
      <c r="H10" s="228">
        <v>937018</v>
      </c>
      <c r="I10" s="231" t="s">
        <v>157</v>
      </c>
      <c r="J10" s="227" t="s">
        <v>76</v>
      </c>
    </row>
    <row r="11" spans="1:10">
      <c r="A11" s="69" t="s">
        <v>53</v>
      </c>
      <c r="C11" s="66" t="s">
        <v>96</v>
      </c>
      <c r="H11" s="228">
        <v>937003</v>
      </c>
      <c r="I11" s="231" t="s">
        <v>158</v>
      </c>
      <c r="J11" s="227" t="s">
        <v>76</v>
      </c>
    </row>
    <row r="12" spans="1:10">
      <c r="A12" s="66" t="s">
        <v>76</v>
      </c>
      <c r="C12" s="66" t="s">
        <v>142</v>
      </c>
      <c r="H12" s="228">
        <v>937019</v>
      </c>
      <c r="I12" s="231" t="s">
        <v>159</v>
      </c>
      <c r="J12" s="227" t="s">
        <v>76</v>
      </c>
    </row>
    <row r="13" spans="1:10">
      <c r="A13" s="66" t="s">
        <v>77</v>
      </c>
      <c r="C13" s="66" t="s">
        <v>146</v>
      </c>
      <c r="H13" s="228">
        <v>937005</v>
      </c>
      <c r="I13" s="231" t="s">
        <v>160</v>
      </c>
      <c r="J13" s="227" t="s">
        <v>76</v>
      </c>
    </row>
    <row r="14" spans="1:10">
      <c r="A14" s="66" t="s">
        <v>78</v>
      </c>
      <c r="C14" s="66" t="s">
        <v>145</v>
      </c>
      <c r="H14" s="226">
        <v>937006</v>
      </c>
      <c r="I14" s="232" t="s">
        <v>161</v>
      </c>
      <c r="J14" s="227" t="s">
        <v>76</v>
      </c>
    </row>
    <row r="15" spans="1:10">
      <c r="A15" s="66" t="s">
        <v>79</v>
      </c>
      <c r="C15" s="66" t="s">
        <v>144</v>
      </c>
      <c r="H15" s="228">
        <v>937007</v>
      </c>
      <c r="I15" s="231" t="s">
        <v>162</v>
      </c>
      <c r="J15" s="227" t="s">
        <v>76</v>
      </c>
    </row>
    <row r="16" spans="1:10">
      <c r="A16" s="66" t="s">
        <v>81</v>
      </c>
      <c r="C16" s="66" t="s">
        <v>143</v>
      </c>
      <c r="H16" s="233">
        <v>937002</v>
      </c>
      <c r="I16" s="234" t="s">
        <v>163</v>
      </c>
      <c r="J16" s="227" t="s">
        <v>76</v>
      </c>
    </row>
    <row r="17" spans="1:10">
      <c r="A17" s="66" t="s">
        <v>80</v>
      </c>
      <c r="C17" s="66"/>
      <c r="H17" s="228">
        <v>937008</v>
      </c>
      <c r="I17" s="231" t="s">
        <v>164</v>
      </c>
      <c r="J17" s="227" t="s">
        <v>76</v>
      </c>
    </row>
    <row r="18" spans="1:10">
      <c r="A18" s="66" t="s">
        <v>82</v>
      </c>
      <c r="H18" s="228">
        <v>937009</v>
      </c>
      <c r="I18" s="231" t="s">
        <v>165</v>
      </c>
      <c r="J18" s="227" t="s">
        <v>76</v>
      </c>
    </row>
    <row r="19" spans="1:10">
      <c r="A19" s="66" t="s">
        <v>83</v>
      </c>
      <c r="H19" s="228">
        <v>937010</v>
      </c>
      <c r="I19" s="231" t="s">
        <v>166</v>
      </c>
      <c r="J19" s="227" t="s">
        <v>76</v>
      </c>
    </row>
    <row r="20" spans="1:10">
      <c r="H20" s="228">
        <v>937011</v>
      </c>
      <c r="I20" s="229" t="s">
        <v>167</v>
      </c>
      <c r="J20" s="227" t="s">
        <v>76</v>
      </c>
    </row>
    <row r="21" spans="1:10" ht="25.5">
      <c r="H21" s="226">
        <v>937101</v>
      </c>
      <c r="I21" s="235" t="s">
        <v>168</v>
      </c>
      <c r="J21" s="227" t="s">
        <v>76</v>
      </c>
    </row>
    <row r="22" spans="1:10">
      <c r="H22" s="228">
        <v>937023</v>
      </c>
      <c r="I22" s="231" t="s">
        <v>169</v>
      </c>
      <c r="J22" s="227" t="s">
        <v>76</v>
      </c>
    </row>
    <row r="23" spans="1:10">
      <c r="H23" s="222"/>
      <c r="I23" s="223"/>
      <c r="J23" s="224"/>
    </row>
    <row r="24" spans="1:10">
      <c r="H24" s="222"/>
      <c r="I24" s="223"/>
      <c r="J24" s="224"/>
    </row>
    <row r="25" spans="1:10">
      <c r="H25" s="222"/>
      <c r="I25" s="223"/>
      <c r="J25" s="224"/>
    </row>
    <row r="26" spans="1:10">
      <c r="H26" s="222"/>
      <c r="I26" s="223"/>
      <c r="J26" s="224"/>
    </row>
    <row r="27" spans="1:10">
      <c r="H27" s="222"/>
      <c r="I27" s="223"/>
      <c r="J27" s="224"/>
    </row>
    <row r="28" spans="1:10">
      <c r="H28" s="222"/>
      <c r="I28" s="223"/>
      <c r="J28" s="224"/>
    </row>
    <row r="29" spans="1:10">
      <c r="H29" s="222"/>
      <c r="I29" s="225"/>
      <c r="J29" s="22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2"/>
  <dimension ref="A1:O29"/>
  <sheetViews>
    <sheetView workbookViewId="0">
      <selection sqref="A1:O27"/>
    </sheetView>
  </sheetViews>
  <sheetFormatPr defaultRowHeight="12.75"/>
  <cols>
    <col min="1" max="1" width="19.7109375" customWidth="1"/>
    <col min="2" max="2" width="8.5703125" customWidth="1"/>
    <col min="3" max="4" width="12.28515625" customWidth="1"/>
    <col min="5" max="5" width="11.42578125" customWidth="1"/>
    <col min="6" max="6" width="13.28515625" customWidth="1"/>
    <col min="7" max="7" width="12.42578125" customWidth="1"/>
    <col min="8" max="8" width="13.140625" customWidth="1"/>
    <col min="9" max="9" width="12.5703125" customWidth="1"/>
    <col min="10" max="12" width="12" customWidth="1"/>
    <col min="13" max="13" width="13.28515625" customWidth="1"/>
    <col min="14" max="14" width="15.5703125" customWidth="1"/>
    <col min="15" max="15" width="15.140625" customWidth="1"/>
  </cols>
  <sheetData>
    <row r="1" spans="1:15" ht="53.25" customHeight="1">
      <c r="A1" s="273" t="s">
        <v>54</v>
      </c>
      <c r="B1" s="273" t="s">
        <v>60</v>
      </c>
      <c r="C1" s="273" t="s">
        <v>119</v>
      </c>
      <c r="D1" s="273"/>
      <c r="E1" s="273" t="s">
        <v>120</v>
      </c>
      <c r="F1" s="273"/>
      <c r="G1" s="273" t="s">
        <v>121</v>
      </c>
      <c r="H1" s="273"/>
      <c r="I1" s="273" t="s">
        <v>122</v>
      </c>
      <c r="J1" s="273"/>
      <c r="K1" s="273" t="s">
        <v>123</v>
      </c>
      <c r="L1" s="273"/>
      <c r="M1" s="271" t="s">
        <v>67</v>
      </c>
      <c r="N1" s="271" t="s">
        <v>68</v>
      </c>
      <c r="O1" s="271" t="s">
        <v>69</v>
      </c>
    </row>
    <row r="2" spans="1:15" ht="15" customHeight="1">
      <c r="A2" s="273"/>
      <c r="B2" s="273"/>
      <c r="C2" s="176" t="s">
        <v>117</v>
      </c>
      <c r="D2" s="176" t="s">
        <v>118</v>
      </c>
      <c r="E2" s="176" t="s">
        <v>117</v>
      </c>
      <c r="F2" s="176" t="s">
        <v>118</v>
      </c>
      <c r="G2" s="176" t="s">
        <v>117</v>
      </c>
      <c r="H2" s="176" t="s">
        <v>118</v>
      </c>
      <c r="I2" s="176" t="s">
        <v>117</v>
      </c>
      <c r="J2" s="176" t="s">
        <v>118</v>
      </c>
      <c r="K2" s="176" t="s">
        <v>117</v>
      </c>
      <c r="L2" s="176" t="s">
        <v>118</v>
      </c>
      <c r="M2" s="272"/>
      <c r="N2" s="272"/>
      <c r="O2" s="272"/>
    </row>
    <row r="3" spans="1:15">
      <c r="A3" s="64" t="s">
        <v>62</v>
      </c>
      <c r="B3" s="86">
        <f t="shared" ref="B3:B26" ca="1" si="0">COUNT(INDIRECT($A3&amp;"!$m$2:$m$1000"))</f>
        <v>64</v>
      </c>
      <c r="C3" s="87">
        <f t="shared" ref="C3:C26" ca="1" si="1">IF(B3=0,"",COUNTIF(INDIRECT($A3&amp;"!$m$2:$m$1000"),"0%"))</f>
        <v>0</v>
      </c>
      <c r="D3" s="88">
        <f t="shared" ref="D3:D26" ca="1" si="2">IF(B3=0,"",C3/$B3)</f>
        <v>0</v>
      </c>
      <c r="E3" s="87">
        <f t="shared" ref="E3:E26" ca="1" si="3">IF(B3=0,"",COUNTIFS(INDIRECT($A3&amp;"!$m$2:$m$1000"),"&gt;0%",INDIRECT($A3&amp;"!$m$2:$m$1000"),"&lt;=25%"))</f>
        <v>21</v>
      </c>
      <c r="F3" s="88">
        <f ca="1">IF(B3=0,"",E3/$B3)</f>
        <v>0.328125</v>
      </c>
      <c r="G3" s="87">
        <f t="shared" ref="G3:G26" ca="1" si="4">IF(B3=0,"",COUNTIFS(INDIRECT($A3&amp;"!$m$2:$m$1000"),"&gt;25%",INDIRECT($A3&amp;"!$m$2:$m$1000"),"&lt;=50%"))</f>
        <v>27</v>
      </c>
      <c r="H3" s="88">
        <f ca="1">IF(B3=0,"",G3/$B3)</f>
        <v>0.421875</v>
      </c>
      <c r="I3" s="87">
        <f t="shared" ref="I3:I26" ca="1" si="5">IF(B3=0,"",COUNTIFS(INDIRECT($A3&amp;"!$m$2:$m$1000"),"&gt;50%",INDIRECT($A3&amp;"!$m$2:$m$1000"),"&lt;=75%"))</f>
        <v>10</v>
      </c>
      <c r="J3" s="88">
        <f ca="1">IF(B3=0,"",I3/$B3)</f>
        <v>0.15625</v>
      </c>
      <c r="K3" s="87">
        <f t="shared" ref="K3:K26" ca="1" si="6">IF(B3=0,"",COUNTIFS(INDIRECT($A3&amp;"!$m$2:$m$1000"),"&gt;75%",INDIRECT($A3&amp;"!$m$2:$m$1000"),"&lt;=100%"))</f>
        <v>6</v>
      </c>
      <c r="L3" s="88">
        <f ca="1">IF(B3=0,"",K3/$B3)</f>
        <v>9.375E-2</v>
      </c>
      <c r="M3" s="88">
        <f t="shared" ref="M3:M26" ca="1" si="7">IF(B3=0,"",AVERAGE(INDIRECT($A3&amp;"!$m$2:$m$1000")))</f>
        <v>0.38317268668831173</v>
      </c>
      <c r="N3" s="88">
        <f t="shared" ref="N3:N26" ca="1" si="8">IF(B3=0,"",MAX(INDIRECT($A3&amp;"!$m$2:$m$1000")))</f>
        <v>0.97499999999999998</v>
      </c>
      <c r="O3" s="88">
        <f t="shared" ref="O3:O26" ca="1" si="9">IF(B3=0,"",MIN(INDIRECT($A3&amp;"!$m$2:$m$1000")))</f>
        <v>4.2857142857142858E-2</v>
      </c>
    </row>
    <row r="4" spans="1:15">
      <c r="A4" s="65" t="s">
        <v>19</v>
      </c>
      <c r="B4" s="86">
        <f t="shared" ca="1" si="0"/>
        <v>3</v>
      </c>
      <c r="C4" s="87">
        <f t="shared" ca="1" si="1"/>
        <v>0</v>
      </c>
      <c r="D4" s="88">
        <f t="shared" ca="1" si="2"/>
        <v>0</v>
      </c>
      <c r="E4" s="87">
        <f t="shared" ca="1" si="3"/>
        <v>2</v>
      </c>
      <c r="F4" s="88">
        <f t="shared" ref="F4:F26" ca="1" si="10">IF(B4=0,"",E4/$B4)</f>
        <v>0.66666666666666663</v>
      </c>
      <c r="G4" s="87">
        <f t="shared" ca="1" si="4"/>
        <v>1</v>
      </c>
      <c r="H4" s="88">
        <f t="shared" ref="H4:H26" ca="1" si="11">IF(B4=0,"",G4/$B4)</f>
        <v>0.33333333333333331</v>
      </c>
      <c r="I4" s="87">
        <f t="shared" ca="1" si="5"/>
        <v>0</v>
      </c>
      <c r="J4" s="88">
        <f t="shared" ref="J4:J26" ca="1" si="12">IF(B4=0,"",I4/$B4)</f>
        <v>0</v>
      </c>
      <c r="K4" s="87">
        <f t="shared" ca="1" si="6"/>
        <v>0</v>
      </c>
      <c r="L4" s="88">
        <f t="shared" ref="L4:L26" ca="1" si="13">IF(B4=0,"",K4/$B4)</f>
        <v>0</v>
      </c>
      <c r="M4" s="88" t="e">
        <f t="shared" ca="1" si="7"/>
        <v>#DIV/0!</v>
      </c>
      <c r="N4" s="88" t="e">
        <f t="shared" ca="1" si="8"/>
        <v>#DIV/0!</v>
      </c>
      <c r="O4" s="88" t="e">
        <f t="shared" ca="1" si="9"/>
        <v>#DIV/0!</v>
      </c>
    </row>
    <row r="5" spans="1:15">
      <c r="A5" s="65" t="s">
        <v>12</v>
      </c>
      <c r="B5" s="86">
        <f t="shared" ca="1" si="0"/>
        <v>38</v>
      </c>
      <c r="C5" s="87">
        <f t="shared" ca="1" si="1"/>
        <v>0</v>
      </c>
      <c r="D5" s="88">
        <f t="shared" ca="1" si="2"/>
        <v>0</v>
      </c>
      <c r="E5" s="87">
        <f t="shared" ca="1" si="3"/>
        <v>3</v>
      </c>
      <c r="F5" s="88">
        <f t="shared" ca="1" si="10"/>
        <v>7.8947368421052627E-2</v>
      </c>
      <c r="G5" s="87">
        <f t="shared" ca="1" si="4"/>
        <v>26</v>
      </c>
      <c r="H5" s="88">
        <f t="shared" ca="1" si="11"/>
        <v>0.68421052631578949</v>
      </c>
      <c r="I5" s="87">
        <f t="shared" ca="1" si="5"/>
        <v>8</v>
      </c>
      <c r="J5" s="88">
        <f t="shared" ca="1" si="12"/>
        <v>0.21052631578947367</v>
      </c>
      <c r="K5" s="87">
        <f t="shared" ca="1" si="6"/>
        <v>1</v>
      </c>
      <c r="L5" s="88">
        <f t="shared" ca="1" si="13"/>
        <v>2.6315789473684209E-2</v>
      </c>
      <c r="M5" s="88">
        <f t="shared" ca="1" si="7"/>
        <v>0.42552981631771591</v>
      </c>
      <c r="N5" s="88">
        <f t="shared" ca="1" si="8"/>
        <v>0.87012987012987009</v>
      </c>
      <c r="O5" s="88">
        <f t="shared" ca="1" si="9"/>
        <v>0.12396694214876033</v>
      </c>
    </row>
    <row r="6" spans="1:15">
      <c r="A6" s="65" t="s">
        <v>24</v>
      </c>
      <c r="B6" s="86">
        <f t="shared" ca="1" si="0"/>
        <v>49</v>
      </c>
      <c r="C6" s="87">
        <f t="shared" ca="1" si="1"/>
        <v>0</v>
      </c>
      <c r="D6" s="88">
        <f t="shared" ca="1" si="2"/>
        <v>0</v>
      </c>
      <c r="E6" s="87">
        <f t="shared" ca="1" si="3"/>
        <v>19</v>
      </c>
      <c r="F6" s="88">
        <f t="shared" ca="1" si="10"/>
        <v>0.38775510204081631</v>
      </c>
      <c r="G6" s="87">
        <f t="shared" ca="1" si="4"/>
        <v>27</v>
      </c>
      <c r="H6" s="88">
        <f t="shared" ca="1" si="11"/>
        <v>0.55102040816326525</v>
      </c>
      <c r="I6" s="87">
        <f t="shared" ca="1" si="5"/>
        <v>2</v>
      </c>
      <c r="J6" s="88">
        <f t="shared" ca="1" si="12"/>
        <v>4.0816326530612242E-2</v>
      </c>
      <c r="K6" s="87">
        <f t="shared" ca="1" si="6"/>
        <v>1</v>
      </c>
      <c r="L6" s="88">
        <f t="shared" ca="1" si="13"/>
        <v>2.0408163265306121E-2</v>
      </c>
      <c r="M6" s="88">
        <f t="shared" ca="1" si="7"/>
        <v>0.30795918367346953</v>
      </c>
      <c r="N6" s="88">
        <f t="shared" ca="1" si="8"/>
        <v>0.81428571428571428</v>
      </c>
      <c r="O6" s="88">
        <f t="shared" ca="1" si="9"/>
        <v>7.1428571428571425E-2</v>
      </c>
    </row>
    <row r="7" spans="1:15">
      <c r="A7" s="65" t="s">
        <v>56</v>
      </c>
      <c r="B7" s="86">
        <f t="shared" ca="1" si="0"/>
        <v>5</v>
      </c>
      <c r="C7" s="87">
        <f t="shared" ca="1" si="1"/>
        <v>0</v>
      </c>
      <c r="D7" s="88">
        <f t="shared" ca="1" si="2"/>
        <v>0</v>
      </c>
      <c r="E7" s="87">
        <f t="shared" ca="1" si="3"/>
        <v>1</v>
      </c>
      <c r="F7" s="88">
        <f t="shared" ca="1" si="10"/>
        <v>0.2</v>
      </c>
      <c r="G7" s="87">
        <f t="shared" ca="1" si="4"/>
        <v>4</v>
      </c>
      <c r="H7" s="88">
        <f t="shared" ca="1" si="11"/>
        <v>0.8</v>
      </c>
      <c r="I7" s="87">
        <f t="shared" ca="1" si="5"/>
        <v>0</v>
      </c>
      <c r="J7" s="88">
        <f t="shared" ca="1" si="12"/>
        <v>0</v>
      </c>
      <c r="K7" s="87">
        <f t="shared" ca="1" si="6"/>
        <v>0</v>
      </c>
      <c r="L7" s="88">
        <f t="shared" ca="1" si="13"/>
        <v>0</v>
      </c>
      <c r="M7" s="88" t="e">
        <f t="shared" ca="1" si="7"/>
        <v>#DIV/0!</v>
      </c>
      <c r="N7" s="88" t="e">
        <f t="shared" ca="1" si="8"/>
        <v>#DIV/0!</v>
      </c>
      <c r="O7" s="88" t="e">
        <f t="shared" ca="1" si="9"/>
        <v>#DIV/0!</v>
      </c>
    </row>
    <row r="8" spans="1:15">
      <c r="A8" s="65" t="s">
        <v>55</v>
      </c>
      <c r="B8" s="86">
        <f t="shared" ca="1" si="0"/>
        <v>6</v>
      </c>
      <c r="C8" s="87">
        <f t="shared" ca="1" si="1"/>
        <v>0</v>
      </c>
      <c r="D8" s="88">
        <f t="shared" ca="1" si="2"/>
        <v>0</v>
      </c>
      <c r="E8" s="87">
        <f t="shared" ca="1" si="3"/>
        <v>0</v>
      </c>
      <c r="F8" s="88">
        <f t="shared" ca="1" si="10"/>
        <v>0</v>
      </c>
      <c r="G8" s="87">
        <f t="shared" ca="1" si="4"/>
        <v>6</v>
      </c>
      <c r="H8" s="88">
        <f t="shared" ca="1" si="11"/>
        <v>1</v>
      </c>
      <c r="I8" s="87">
        <f t="shared" ca="1" si="5"/>
        <v>0</v>
      </c>
      <c r="J8" s="88">
        <f t="shared" ca="1" si="12"/>
        <v>0</v>
      </c>
      <c r="K8" s="87">
        <f t="shared" ca="1" si="6"/>
        <v>0</v>
      </c>
      <c r="L8" s="88">
        <f t="shared" ca="1" si="13"/>
        <v>0</v>
      </c>
      <c r="M8" s="88" t="e">
        <f t="shared" ca="1" si="7"/>
        <v>#DIV/0!</v>
      </c>
      <c r="N8" s="88" t="e">
        <f t="shared" ca="1" si="8"/>
        <v>#DIV/0!</v>
      </c>
      <c r="O8" s="88" t="e">
        <f t="shared" ca="1" si="9"/>
        <v>#DIV/0!</v>
      </c>
    </row>
    <row r="9" spans="1:15">
      <c r="A9" s="65" t="s">
        <v>116</v>
      </c>
      <c r="B9" s="86">
        <f t="shared" ca="1" si="0"/>
        <v>0</v>
      </c>
      <c r="C9" s="87" t="str">
        <f t="shared" ca="1" si="1"/>
        <v/>
      </c>
      <c r="D9" s="88" t="str">
        <f t="shared" ca="1" si="2"/>
        <v/>
      </c>
      <c r="E9" s="87" t="str">
        <f t="shared" ca="1" si="3"/>
        <v/>
      </c>
      <c r="F9" s="88" t="str">
        <f t="shared" ca="1" si="10"/>
        <v/>
      </c>
      <c r="G9" s="87" t="str">
        <f t="shared" ca="1" si="4"/>
        <v/>
      </c>
      <c r="H9" s="88" t="str">
        <f t="shared" ca="1" si="11"/>
        <v/>
      </c>
      <c r="I9" s="87" t="str">
        <f t="shared" ca="1" si="5"/>
        <v/>
      </c>
      <c r="J9" s="88" t="str">
        <f t="shared" ca="1" si="12"/>
        <v/>
      </c>
      <c r="K9" s="87" t="str">
        <f t="shared" ca="1" si="6"/>
        <v/>
      </c>
      <c r="L9" s="88" t="str">
        <f t="shared" ca="1" si="13"/>
        <v/>
      </c>
      <c r="M9" s="88" t="str">
        <f t="shared" ca="1" si="7"/>
        <v/>
      </c>
      <c r="N9" s="88" t="str">
        <f t="shared" ca="1" si="8"/>
        <v/>
      </c>
      <c r="O9" s="88" t="str">
        <f t="shared" ca="1" si="9"/>
        <v/>
      </c>
    </row>
    <row r="10" spans="1:15">
      <c r="A10" s="65" t="s">
        <v>25</v>
      </c>
      <c r="B10" s="86">
        <f t="shared" ca="1" si="0"/>
        <v>27</v>
      </c>
      <c r="C10" s="87">
        <f t="shared" ca="1" si="1"/>
        <v>0</v>
      </c>
      <c r="D10" s="88">
        <f t="shared" ca="1" si="2"/>
        <v>0</v>
      </c>
      <c r="E10" s="87">
        <f t="shared" ca="1" si="3"/>
        <v>13</v>
      </c>
      <c r="F10" s="88">
        <f t="shared" ca="1" si="10"/>
        <v>0.48148148148148145</v>
      </c>
      <c r="G10" s="87">
        <f t="shared" ca="1" si="4"/>
        <v>10</v>
      </c>
      <c r="H10" s="88">
        <f t="shared" ca="1" si="11"/>
        <v>0.37037037037037035</v>
      </c>
      <c r="I10" s="87">
        <f t="shared" ca="1" si="5"/>
        <v>4</v>
      </c>
      <c r="J10" s="88">
        <f t="shared" ca="1" si="12"/>
        <v>0.14814814814814814</v>
      </c>
      <c r="K10" s="87">
        <f t="shared" ca="1" si="6"/>
        <v>0</v>
      </c>
      <c r="L10" s="88">
        <f t="shared" ca="1" si="13"/>
        <v>0</v>
      </c>
      <c r="M10" s="88">
        <f t="shared" ca="1" si="7"/>
        <v>0.28893437296946067</v>
      </c>
      <c r="N10" s="88">
        <f t="shared" ca="1" si="8"/>
        <v>0.72</v>
      </c>
      <c r="O10" s="88">
        <f t="shared" ca="1" si="9"/>
        <v>6.1403508771929821E-2</v>
      </c>
    </row>
    <row r="11" spans="1:15">
      <c r="A11" s="65" t="s">
        <v>91</v>
      </c>
      <c r="B11" s="86">
        <f t="shared" ca="1" si="0"/>
        <v>0</v>
      </c>
      <c r="C11" s="87" t="str">
        <f t="shared" ca="1" si="1"/>
        <v/>
      </c>
      <c r="D11" s="88" t="str">
        <f t="shared" ca="1" si="2"/>
        <v/>
      </c>
      <c r="E11" s="87" t="str">
        <f t="shared" ca="1" si="3"/>
        <v/>
      </c>
      <c r="F11" s="88" t="str">
        <f t="shared" ca="1" si="10"/>
        <v/>
      </c>
      <c r="G11" s="87" t="str">
        <f t="shared" ca="1" si="4"/>
        <v/>
      </c>
      <c r="H11" s="88" t="str">
        <f t="shared" ca="1" si="11"/>
        <v/>
      </c>
      <c r="I11" s="87" t="str">
        <f t="shared" ca="1" si="5"/>
        <v/>
      </c>
      <c r="J11" s="88" t="str">
        <f t="shared" ca="1" si="12"/>
        <v/>
      </c>
      <c r="K11" s="87" t="str">
        <f t="shared" ca="1" si="6"/>
        <v/>
      </c>
      <c r="L11" s="88" t="str">
        <f t="shared" ca="1" si="13"/>
        <v/>
      </c>
      <c r="M11" s="88" t="str">
        <f t="shared" ca="1" si="7"/>
        <v/>
      </c>
      <c r="N11" s="88" t="str">
        <f t="shared" ca="1" si="8"/>
        <v/>
      </c>
      <c r="O11" s="88" t="str">
        <f t="shared" ca="1" si="9"/>
        <v/>
      </c>
    </row>
    <row r="12" spans="1:15">
      <c r="A12" s="65" t="s">
        <v>90</v>
      </c>
      <c r="B12" s="86">
        <f t="shared" ca="1" si="0"/>
        <v>0</v>
      </c>
      <c r="C12" s="87" t="str">
        <f t="shared" ca="1" si="1"/>
        <v/>
      </c>
      <c r="D12" s="88" t="str">
        <f t="shared" ca="1" si="2"/>
        <v/>
      </c>
      <c r="E12" s="87" t="str">
        <f t="shared" ca="1" si="3"/>
        <v/>
      </c>
      <c r="F12" s="88" t="str">
        <f t="shared" ca="1" si="10"/>
        <v/>
      </c>
      <c r="G12" s="87" t="str">
        <f t="shared" ca="1" si="4"/>
        <v/>
      </c>
      <c r="H12" s="88" t="str">
        <f t="shared" ca="1" si="11"/>
        <v/>
      </c>
      <c r="I12" s="87" t="str">
        <f t="shared" ca="1" si="5"/>
        <v/>
      </c>
      <c r="J12" s="88" t="str">
        <f t="shared" ca="1" si="12"/>
        <v/>
      </c>
      <c r="K12" s="87" t="str">
        <f t="shared" ca="1" si="6"/>
        <v/>
      </c>
      <c r="L12" s="88" t="str">
        <f t="shared" ca="1" si="13"/>
        <v/>
      </c>
      <c r="M12" s="88" t="str">
        <f t="shared" ca="1" si="7"/>
        <v/>
      </c>
      <c r="N12" s="88" t="str">
        <f t="shared" ca="1" si="8"/>
        <v/>
      </c>
      <c r="O12" s="88" t="str">
        <f t="shared" ca="1" si="9"/>
        <v/>
      </c>
    </row>
    <row r="13" spans="1:15">
      <c r="A13" s="65" t="s">
        <v>22</v>
      </c>
      <c r="B13" s="86">
        <f t="shared" ca="1" si="0"/>
        <v>24</v>
      </c>
      <c r="C13" s="87">
        <f t="shared" ca="1" si="1"/>
        <v>0</v>
      </c>
      <c r="D13" s="88">
        <f t="shared" ca="1" si="2"/>
        <v>0</v>
      </c>
      <c r="E13" s="87">
        <f t="shared" ca="1" si="3"/>
        <v>6</v>
      </c>
      <c r="F13" s="88">
        <f t="shared" ca="1" si="10"/>
        <v>0.25</v>
      </c>
      <c r="G13" s="87">
        <f t="shared" ca="1" si="4"/>
        <v>13</v>
      </c>
      <c r="H13" s="88">
        <f t="shared" ca="1" si="11"/>
        <v>0.54166666666666663</v>
      </c>
      <c r="I13" s="87">
        <f t="shared" ca="1" si="5"/>
        <v>5</v>
      </c>
      <c r="J13" s="88">
        <f t="shared" ca="1" si="12"/>
        <v>0.20833333333333334</v>
      </c>
      <c r="K13" s="87">
        <f t="shared" ca="1" si="6"/>
        <v>0</v>
      </c>
      <c r="L13" s="88">
        <f t="shared" ca="1" si="13"/>
        <v>0</v>
      </c>
      <c r="M13" s="88">
        <f t="shared" ca="1" si="7"/>
        <v>0.34999999999999992</v>
      </c>
      <c r="N13" s="88">
        <f t="shared" ca="1" si="8"/>
        <v>0.62</v>
      </c>
      <c r="O13" s="88">
        <f t="shared" ca="1" si="9"/>
        <v>0.06</v>
      </c>
    </row>
    <row r="14" spans="1:15">
      <c r="A14" s="65" t="s">
        <v>10</v>
      </c>
      <c r="B14" s="86">
        <f t="shared" ca="1" si="0"/>
        <v>102</v>
      </c>
      <c r="C14" s="87">
        <f t="shared" ca="1" si="1"/>
        <v>16</v>
      </c>
      <c r="D14" s="88">
        <f t="shared" ca="1" si="2"/>
        <v>0.15686274509803921</v>
      </c>
      <c r="E14" s="87">
        <f t="shared" ca="1" si="3"/>
        <v>53</v>
      </c>
      <c r="F14" s="88">
        <f t="shared" ca="1" si="10"/>
        <v>0.51960784313725494</v>
      </c>
      <c r="G14" s="87">
        <f t="shared" ca="1" si="4"/>
        <v>26</v>
      </c>
      <c r="H14" s="88">
        <f t="shared" ca="1" si="11"/>
        <v>0.25490196078431371</v>
      </c>
      <c r="I14" s="87">
        <f t="shared" ca="1" si="5"/>
        <v>5</v>
      </c>
      <c r="J14" s="88">
        <f t="shared" ca="1" si="12"/>
        <v>4.9019607843137254E-2</v>
      </c>
      <c r="K14" s="87">
        <f t="shared" ca="1" si="6"/>
        <v>2</v>
      </c>
      <c r="L14" s="88">
        <f t="shared" ca="1" si="13"/>
        <v>1.9607843137254902E-2</v>
      </c>
      <c r="M14" s="88">
        <f t="shared" ca="1" si="7"/>
        <v>0.20408634041852011</v>
      </c>
      <c r="N14" s="88">
        <f t="shared" ca="1" si="8"/>
        <v>0.8</v>
      </c>
      <c r="O14" s="88">
        <f t="shared" ca="1" si="9"/>
        <v>0</v>
      </c>
    </row>
    <row r="15" spans="1:15">
      <c r="A15" s="65" t="s">
        <v>65</v>
      </c>
      <c r="B15" s="86">
        <f t="shared" ca="1" si="0"/>
        <v>0</v>
      </c>
      <c r="C15" s="87" t="str">
        <f t="shared" ca="1" si="1"/>
        <v/>
      </c>
      <c r="D15" s="88" t="str">
        <f t="shared" ca="1" si="2"/>
        <v/>
      </c>
      <c r="E15" s="87" t="str">
        <f t="shared" ca="1" si="3"/>
        <v/>
      </c>
      <c r="F15" s="88" t="str">
        <f t="shared" ca="1" si="10"/>
        <v/>
      </c>
      <c r="G15" s="87" t="str">
        <f t="shared" ca="1" si="4"/>
        <v/>
      </c>
      <c r="H15" s="88" t="str">
        <f t="shared" ca="1" si="11"/>
        <v/>
      </c>
      <c r="I15" s="87" t="str">
        <f t="shared" ca="1" si="5"/>
        <v/>
      </c>
      <c r="J15" s="88" t="str">
        <f t="shared" ca="1" si="12"/>
        <v/>
      </c>
      <c r="K15" s="87" t="str">
        <f t="shared" ca="1" si="6"/>
        <v/>
      </c>
      <c r="L15" s="88" t="str">
        <f t="shared" ca="1" si="13"/>
        <v/>
      </c>
      <c r="M15" s="88" t="str">
        <f t="shared" ca="1" si="7"/>
        <v/>
      </c>
      <c r="N15" s="88" t="str">
        <f t="shared" ca="1" si="8"/>
        <v/>
      </c>
      <c r="O15" s="88" t="str">
        <f t="shared" ca="1" si="9"/>
        <v/>
      </c>
    </row>
    <row r="16" spans="1:15">
      <c r="A16" s="65" t="s">
        <v>57</v>
      </c>
      <c r="B16" s="86">
        <f t="shared" ca="1" si="0"/>
        <v>7</v>
      </c>
      <c r="C16" s="87">
        <f t="shared" ca="1" si="1"/>
        <v>0</v>
      </c>
      <c r="D16" s="88">
        <f t="shared" ca="1" si="2"/>
        <v>0</v>
      </c>
      <c r="E16" s="87">
        <f t="shared" ca="1" si="3"/>
        <v>3</v>
      </c>
      <c r="F16" s="88">
        <f t="shared" ca="1" si="10"/>
        <v>0.42857142857142855</v>
      </c>
      <c r="G16" s="87">
        <f t="shared" ca="1" si="4"/>
        <v>1</v>
      </c>
      <c r="H16" s="88">
        <f t="shared" ca="1" si="11"/>
        <v>0.14285714285714285</v>
      </c>
      <c r="I16" s="87">
        <f t="shared" ca="1" si="5"/>
        <v>3</v>
      </c>
      <c r="J16" s="88">
        <f t="shared" ca="1" si="12"/>
        <v>0.42857142857142855</v>
      </c>
      <c r="K16" s="87">
        <f t="shared" ca="1" si="6"/>
        <v>0</v>
      </c>
      <c r="L16" s="88">
        <f t="shared" ca="1" si="13"/>
        <v>0</v>
      </c>
      <c r="M16" s="88" t="e">
        <f t="shared" ca="1" si="7"/>
        <v>#DIV/0!</v>
      </c>
      <c r="N16" s="88" t="e">
        <f t="shared" ca="1" si="8"/>
        <v>#DIV/0!</v>
      </c>
      <c r="O16" s="88" t="e">
        <f t="shared" ca="1" si="9"/>
        <v>#DIV/0!</v>
      </c>
    </row>
    <row r="17" spans="1:15">
      <c r="A17" s="65" t="s">
        <v>45</v>
      </c>
      <c r="B17" s="86">
        <f t="shared" ca="1" si="0"/>
        <v>74</v>
      </c>
      <c r="C17" s="87">
        <f t="shared" ca="1" si="1"/>
        <v>0</v>
      </c>
      <c r="D17" s="88">
        <f t="shared" ca="1" si="2"/>
        <v>0</v>
      </c>
      <c r="E17" s="87">
        <f t="shared" ca="1" si="3"/>
        <v>25</v>
      </c>
      <c r="F17" s="88">
        <f t="shared" ca="1" si="10"/>
        <v>0.33783783783783783</v>
      </c>
      <c r="G17" s="87">
        <f t="shared" ca="1" si="4"/>
        <v>42</v>
      </c>
      <c r="H17" s="88">
        <f t="shared" ca="1" si="11"/>
        <v>0.56756756756756754</v>
      </c>
      <c r="I17" s="87">
        <f t="shared" ca="1" si="5"/>
        <v>4</v>
      </c>
      <c r="J17" s="88">
        <f t="shared" ca="1" si="12"/>
        <v>5.4054054054054057E-2</v>
      </c>
      <c r="K17" s="87">
        <f t="shared" ca="1" si="6"/>
        <v>3</v>
      </c>
      <c r="L17" s="88">
        <f t="shared" ca="1" si="13"/>
        <v>4.0540540540540543E-2</v>
      </c>
      <c r="M17" s="88">
        <f t="shared" ca="1" si="7"/>
        <v>0.33921398101654371</v>
      </c>
      <c r="N17" s="88">
        <f t="shared" ca="1" si="8"/>
        <v>0.81</v>
      </c>
      <c r="O17" s="88">
        <f t="shared" ca="1" si="9"/>
        <v>0.05</v>
      </c>
    </row>
    <row r="18" spans="1:15">
      <c r="A18" s="65" t="s">
        <v>18</v>
      </c>
      <c r="B18" s="86">
        <f t="shared" ca="1" si="0"/>
        <v>12</v>
      </c>
      <c r="C18" s="87">
        <f t="shared" ca="1" si="1"/>
        <v>0</v>
      </c>
      <c r="D18" s="88">
        <f t="shared" ca="1" si="2"/>
        <v>0</v>
      </c>
      <c r="E18" s="87">
        <f t="shared" ca="1" si="3"/>
        <v>8</v>
      </c>
      <c r="F18" s="88">
        <f t="shared" ca="1" si="10"/>
        <v>0.66666666666666663</v>
      </c>
      <c r="G18" s="87">
        <f t="shared" ca="1" si="4"/>
        <v>4</v>
      </c>
      <c r="H18" s="88">
        <f t="shared" ca="1" si="11"/>
        <v>0.33333333333333331</v>
      </c>
      <c r="I18" s="87">
        <f t="shared" ca="1" si="5"/>
        <v>0</v>
      </c>
      <c r="J18" s="88">
        <f t="shared" ca="1" si="12"/>
        <v>0</v>
      </c>
      <c r="K18" s="87">
        <f t="shared" ca="1" si="6"/>
        <v>0</v>
      </c>
      <c r="L18" s="88">
        <f t="shared" ca="1" si="13"/>
        <v>0</v>
      </c>
      <c r="M18" s="88" t="e">
        <f t="shared" ca="1" si="7"/>
        <v>#DIV/0!</v>
      </c>
      <c r="N18" s="88" t="e">
        <f t="shared" ca="1" si="8"/>
        <v>#DIV/0!</v>
      </c>
      <c r="O18" s="88" t="e">
        <f t="shared" ca="1" si="9"/>
        <v>#DIV/0!</v>
      </c>
    </row>
    <row r="19" spans="1:15">
      <c r="A19" s="65" t="s">
        <v>63</v>
      </c>
      <c r="B19" s="86">
        <f t="shared" ca="1" si="0"/>
        <v>113</v>
      </c>
      <c r="C19" s="87">
        <f t="shared" ca="1" si="1"/>
        <v>0</v>
      </c>
      <c r="D19" s="88">
        <f t="shared" ca="1" si="2"/>
        <v>0</v>
      </c>
      <c r="E19" s="87">
        <f t="shared" ca="1" si="3"/>
        <v>56</v>
      </c>
      <c r="F19" s="88">
        <f t="shared" ca="1" si="10"/>
        <v>0.49557522123893805</v>
      </c>
      <c r="G19" s="87">
        <f t="shared" ca="1" si="4"/>
        <v>53</v>
      </c>
      <c r="H19" s="88">
        <f t="shared" ca="1" si="11"/>
        <v>0.46902654867256638</v>
      </c>
      <c r="I19" s="87">
        <f t="shared" ca="1" si="5"/>
        <v>4</v>
      </c>
      <c r="J19" s="88">
        <f t="shared" ca="1" si="12"/>
        <v>3.5398230088495575E-2</v>
      </c>
      <c r="K19" s="87">
        <f t="shared" ca="1" si="6"/>
        <v>0</v>
      </c>
      <c r="L19" s="88">
        <f t="shared" ca="1" si="13"/>
        <v>0</v>
      </c>
      <c r="M19" s="88">
        <f t="shared" ca="1" si="7"/>
        <v>0.26814159292035411</v>
      </c>
      <c r="N19" s="88">
        <f t="shared" ca="1" si="8"/>
        <v>0.64</v>
      </c>
      <c r="O19" s="88">
        <f t="shared" ca="1" si="9"/>
        <v>0.01</v>
      </c>
    </row>
    <row r="20" spans="1:15">
      <c r="A20" s="65" t="s">
        <v>16</v>
      </c>
      <c r="B20" s="86">
        <f t="shared" ca="1" si="0"/>
        <v>16</v>
      </c>
      <c r="C20" s="87">
        <f t="shared" ca="1" si="1"/>
        <v>0</v>
      </c>
      <c r="D20" s="88">
        <f t="shared" ca="1" si="2"/>
        <v>0</v>
      </c>
      <c r="E20" s="87">
        <f t="shared" ca="1" si="3"/>
        <v>3</v>
      </c>
      <c r="F20" s="88">
        <f t="shared" ca="1" si="10"/>
        <v>0.1875</v>
      </c>
      <c r="G20" s="87">
        <f t="shared" ca="1" si="4"/>
        <v>10</v>
      </c>
      <c r="H20" s="88">
        <f t="shared" ca="1" si="11"/>
        <v>0.625</v>
      </c>
      <c r="I20" s="87">
        <f t="shared" ca="1" si="5"/>
        <v>3</v>
      </c>
      <c r="J20" s="88">
        <f t="shared" ca="1" si="12"/>
        <v>0.1875</v>
      </c>
      <c r="K20" s="87">
        <f t="shared" ca="1" si="6"/>
        <v>0</v>
      </c>
      <c r="L20" s="88">
        <f t="shared" ca="1" si="13"/>
        <v>0</v>
      </c>
      <c r="M20" s="88" t="e">
        <f t="shared" ca="1" si="7"/>
        <v>#DIV/0!</v>
      </c>
      <c r="N20" s="88" t="e">
        <f t="shared" ca="1" si="8"/>
        <v>#DIV/0!</v>
      </c>
      <c r="O20" s="88" t="e">
        <f t="shared" ca="1" si="9"/>
        <v>#DIV/0!</v>
      </c>
    </row>
    <row r="21" spans="1:15">
      <c r="A21" s="65" t="s">
        <v>11</v>
      </c>
      <c r="B21" s="86">
        <f t="shared" ca="1" si="0"/>
        <v>4</v>
      </c>
      <c r="C21" s="87">
        <f t="shared" ca="1" si="1"/>
        <v>0</v>
      </c>
      <c r="D21" s="88">
        <f t="shared" ca="1" si="2"/>
        <v>0</v>
      </c>
      <c r="E21" s="87">
        <f t="shared" ca="1" si="3"/>
        <v>2</v>
      </c>
      <c r="F21" s="88">
        <f t="shared" ca="1" si="10"/>
        <v>0.5</v>
      </c>
      <c r="G21" s="87">
        <f t="shared" ca="1" si="4"/>
        <v>2</v>
      </c>
      <c r="H21" s="88">
        <f t="shared" ca="1" si="11"/>
        <v>0.5</v>
      </c>
      <c r="I21" s="87">
        <f t="shared" ca="1" si="5"/>
        <v>0</v>
      </c>
      <c r="J21" s="88">
        <f t="shared" ca="1" si="12"/>
        <v>0</v>
      </c>
      <c r="K21" s="87">
        <f t="shared" ca="1" si="6"/>
        <v>0</v>
      </c>
      <c r="L21" s="88">
        <f t="shared" ca="1" si="13"/>
        <v>0</v>
      </c>
      <c r="M21" s="88" t="e">
        <f t="shared" ca="1" si="7"/>
        <v>#DIV/0!</v>
      </c>
      <c r="N21" s="88" t="e">
        <f t="shared" ca="1" si="8"/>
        <v>#DIV/0!</v>
      </c>
      <c r="O21" s="88" t="e">
        <f t="shared" ca="1" si="9"/>
        <v>#DIV/0!</v>
      </c>
    </row>
    <row r="22" spans="1:15" ht="13.5" customHeight="1">
      <c r="A22" s="65" t="s">
        <v>64</v>
      </c>
      <c r="B22" s="86">
        <f t="shared" ca="1" si="0"/>
        <v>14</v>
      </c>
      <c r="C22" s="87">
        <f t="shared" ca="1" si="1"/>
        <v>0</v>
      </c>
      <c r="D22" s="88">
        <f t="shared" ca="1" si="2"/>
        <v>0</v>
      </c>
      <c r="E22" s="87">
        <f t="shared" ca="1" si="3"/>
        <v>2</v>
      </c>
      <c r="F22" s="88">
        <f t="shared" ca="1" si="10"/>
        <v>0.14285714285714285</v>
      </c>
      <c r="G22" s="87">
        <f t="shared" ca="1" si="4"/>
        <v>7</v>
      </c>
      <c r="H22" s="88">
        <f t="shared" ca="1" si="11"/>
        <v>0.5</v>
      </c>
      <c r="I22" s="87">
        <f t="shared" ca="1" si="5"/>
        <v>2</v>
      </c>
      <c r="J22" s="88">
        <f t="shared" ca="1" si="12"/>
        <v>0.14285714285714285</v>
      </c>
      <c r="K22" s="87">
        <f t="shared" ca="1" si="6"/>
        <v>3</v>
      </c>
      <c r="L22" s="88">
        <f t="shared" ca="1" si="13"/>
        <v>0.21428571428571427</v>
      </c>
      <c r="M22" s="88" t="e">
        <f t="shared" ca="1" si="7"/>
        <v>#DIV/0!</v>
      </c>
      <c r="N22" s="88" t="e">
        <f t="shared" ca="1" si="8"/>
        <v>#DIV/0!</v>
      </c>
      <c r="O22" s="88" t="e">
        <f t="shared" ca="1" si="9"/>
        <v>#DIV/0!</v>
      </c>
    </row>
    <row r="23" spans="1:15">
      <c r="A23" s="65" t="s">
        <v>66</v>
      </c>
      <c r="B23" s="86">
        <f t="shared" ca="1" si="0"/>
        <v>0</v>
      </c>
      <c r="C23" s="87" t="str">
        <f t="shared" ca="1" si="1"/>
        <v/>
      </c>
      <c r="D23" s="88" t="str">
        <f t="shared" ca="1" si="2"/>
        <v/>
      </c>
      <c r="E23" s="87" t="str">
        <f t="shared" ca="1" si="3"/>
        <v/>
      </c>
      <c r="F23" s="88" t="str">
        <f t="shared" ca="1" si="10"/>
        <v/>
      </c>
      <c r="G23" s="87" t="str">
        <f t="shared" ca="1" si="4"/>
        <v/>
      </c>
      <c r="H23" s="88" t="str">
        <f t="shared" ca="1" si="11"/>
        <v/>
      </c>
      <c r="I23" s="87" t="str">
        <f t="shared" ca="1" si="5"/>
        <v/>
      </c>
      <c r="J23" s="88" t="str">
        <f t="shared" ca="1" si="12"/>
        <v/>
      </c>
      <c r="K23" s="87" t="str">
        <f t="shared" ca="1" si="6"/>
        <v/>
      </c>
      <c r="L23" s="88" t="str">
        <f t="shared" ca="1" si="13"/>
        <v/>
      </c>
      <c r="M23" s="88" t="str">
        <f t="shared" ca="1" si="7"/>
        <v/>
      </c>
      <c r="N23" s="88" t="str">
        <f t="shared" ca="1" si="8"/>
        <v/>
      </c>
      <c r="O23" s="88" t="str">
        <f t="shared" ca="1" si="9"/>
        <v/>
      </c>
    </row>
    <row r="24" spans="1:15">
      <c r="A24" s="65" t="s">
        <v>21</v>
      </c>
      <c r="B24" s="86">
        <f t="shared" ca="1" si="0"/>
        <v>9</v>
      </c>
      <c r="C24" s="87">
        <f t="shared" ca="1" si="1"/>
        <v>0</v>
      </c>
      <c r="D24" s="88">
        <f t="shared" ca="1" si="2"/>
        <v>0</v>
      </c>
      <c r="E24" s="87">
        <f t="shared" ca="1" si="3"/>
        <v>7</v>
      </c>
      <c r="F24" s="88">
        <f t="shared" ca="1" si="10"/>
        <v>0.77777777777777779</v>
      </c>
      <c r="G24" s="87">
        <f t="shared" ca="1" si="4"/>
        <v>2</v>
      </c>
      <c r="H24" s="88">
        <f t="shared" ca="1" si="11"/>
        <v>0.22222222222222221</v>
      </c>
      <c r="I24" s="87">
        <f t="shared" ca="1" si="5"/>
        <v>0</v>
      </c>
      <c r="J24" s="88">
        <f t="shared" ca="1" si="12"/>
        <v>0</v>
      </c>
      <c r="K24" s="87">
        <f t="shared" ca="1" si="6"/>
        <v>0</v>
      </c>
      <c r="L24" s="88">
        <f t="shared" ca="1" si="13"/>
        <v>0</v>
      </c>
      <c r="M24" s="88" t="e">
        <f t="shared" ca="1" si="7"/>
        <v>#DIV/0!</v>
      </c>
      <c r="N24" s="88" t="e">
        <f t="shared" ca="1" si="8"/>
        <v>#DIV/0!</v>
      </c>
      <c r="O24" s="88" t="e">
        <f t="shared" ca="1" si="9"/>
        <v>#DIV/0!</v>
      </c>
    </row>
    <row r="25" spans="1:15">
      <c r="A25" s="65" t="s">
        <v>17</v>
      </c>
      <c r="B25" s="86">
        <f t="shared" ca="1" si="0"/>
        <v>2</v>
      </c>
      <c r="C25" s="87">
        <f t="shared" ca="1" si="1"/>
        <v>0</v>
      </c>
      <c r="D25" s="88">
        <f t="shared" ca="1" si="2"/>
        <v>0</v>
      </c>
      <c r="E25" s="87">
        <f t="shared" ca="1" si="3"/>
        <v>0</v>
      </c>
      <c r="F25" s="88">
        <f t="shared" ca="1" si="10"/>
        <v>0</v>
      </c>
      <c r="G25" s="87">
        <f t="shared" ca="1" si="4"/>
        <v>2</v>
      </c>
      <c r="H25" s="88">
        <f t="shared" ca="1" si="11"/>
        <v>1</v>
      </c>
      <c r="I25" s="87">
        <f t="shared" ca="1" si="5"/>
        <v>0</v>
      </c>
      <c r="J25" s="88">
        <f t="shared" ca="1" si="12"/>
        <v>0</v>
      </c>
      <c r="K25" s="87">
        <f t="shared" ca="1" si="6"/>
        <v>0</v>
      </c>
      <c r="L25" s="88">
        <f t="shared" ca="1" si="13"/>
        <v>0</v>
      </c>
      <c r="M25" s="88" t="e">
        <f t="shared" ca="1" si="7"/>
        <v>#DIV/0!</v>
      </c>
      <c r="N25" s="88" t="e">
        <f t="shared" ca="1" si="8"/>
        <v>#DIV/0!</v>
      </c>
      <c r="O25" s="88" t="e">
        <f t="shared" ca="1" si="9"/>
        <v>#DIV/0!</v>
      </c>
    </row>
    <row r="26" spans="1:15">
      <c r="A26" s="65" t="s">
        <v>23</v>
      </c>
      <c r="B26" s="86">
        <f t="shared" ca="1" si="0"/>
        <v>3</v>
      </c>
      <c r="C26" s="87">
        <f t="shared" ca="1" si="1"/>
        <v>0</v>
      </c>
      <c r="D26" s="88">
        <f t="shared" ca="1" si="2"/>
        <v>0</v>
      </c>
      <c r="E26" s="87">
        <f t="shared" ca="1" si="3"/>
        <v>3</v>
      </c>
      <c r="F26" s="88">
        <f t="shared" ca="1" si="10"/>
        <v>1</v>
      </c>
      <c r="G26" s="87">
        <f t="shared" ca="1" si="4"/>
        <v>0</v>
      </c>
      <c r="H26" s="88">
        <f t="shared" ca="1" si="11"/>
        <v>0</v>
      </c>
      <c r="I26" s="87">
        <f t="shared" ca="1" si="5"/>
        <v>0</v>
      </c>
      <c r="J26" s="88">
        <f t="shared" ca="1" si="12"/>
        <v>0</v>
      </c>
      <c r="K26" s="87">
        <f t="shared" ca="1" si="6"/>
        <v>0</v>
      </c>
      <c r="L26" s="88">
        <f t="shared" ca="1" si="13"/>
        <v>0</v>
      </c>
      <c r="M26" s="88" t="e">
        <f t="shared" ca="1" si="7"/>
        <v>#DIV/0!</v>
      </c>
      <c r="N26" s="88" t="e">
        <f t="shared" ca="1" si="8"/>
        <v>#DIV/0!</v>
      </c>
      <c r="O26" s="88" t="e">
        <f t="shared" ca="1" si="9"/>
        <v>#DIV/0!</v>
      </c>
    </row>
    <row r="27" spans="1:15">
      <c r="A27" s="69" t="s">
        <v>61</v>
      </c>
      <c r="B27" s="70">
        <f ca="1">SUM(B3:B26)</f>
        <v>572</v>
      </c>
      <c r="C27" s="70">
        <f ca="1">SUM(C3:C26)</f>
        <v>16</v>
      </c>
      <c r="D27" s="71">
        <f ca="1">C27/$B27</f>
        <v>2.7972027972027972E-2</v>
      </c>
      <c r="E27" s="70">
        <f ca="1">SUM(E3:E26)</f>
        <v>227</v>
      </c>
      <c r="F27" s="71">
        <f ca="1">E27/B27</f>
        <v>0.39685314685314688</v>
      </c>
      <c r="G27" s="70">
        <f ca="1">SUM(G3:G26)</f>
        <v>263</v>
      </c>
      <c r="H27" s="71">
        <f ca="1">G27/$B27</f>
        <v>0.45979020979020979</v>
      </c>
      <c r="I27" s="70">
        <f ca="1">SUM(I3:I26)</f>
        <v>50</v>
      </c>
      <c r="J27" s="71">
        <f ca="1">I27/$B27</f>
        <v>8.7412587412587409E-2</v>
      </c>
      <c r="K27" s="70">
        <f ca="1">SUM(K3:K26)</f>
        <v>16</v>
      </c>
      <c r="L27" s="71">
        <f ca="1">K27/$B27</f>
        <v>2.7972027972027972E-2</v>
      </c>
    </row>
    <row r="28" spans="1:15" ht="6.75" customHeight="1"/>
    <row r="29" spans="1:15">
      <c r="A29" s="177" t="s">
        <v>124</v>
      </c>
    </row>
  </sheetData>
  <sheetProtection password="DE6B" sheet="1"/>
  <mergeCells count="10">
    <mergeCell ref="O1:O2"/>
    <mergeCell ref="K1:L1"/>
    <mergeCell ref="B1:B2"/>
    <mergeCell ref="A1:A2"/>
    <mergeCell ref="M1:M2"/>
    <mergeCell ref="N1:N2"/>
    <mergeCell ref="E1:F1"/>
    <mergeCell ref="G1:H1"/>
    <mergeCell ref="I1:J1"/>
    <mergeCell ref="C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3"/>
  <dimension ref="A1:BX47"/>
  <sheetViews>
    <sheetView tabSelected="1" topLeftCell="A14" zoomScale="89" zoomScaleNormal="89" workbookViewId="0">
      <pane xSplit="2" topLeftCell="C1" activePane="topRight" state="frozen"/>
      <selection activeCell="A4" sqref="A4"/>
      <selection pane="topRight" activeCell="M30" sqref="M30"/>
    </sheetView>
  </sheetViews>
  <sheetFormatPr defaultRowHeight="12.75"/>
  <cols>
    <col min="1" max="1" width="3.42578125" style="27" customWidth="1"/>
    <col min="2" max="2" width="20.7109375" style="27" customWidth="1"/>
    <col min="3" max="3" width="8.5703125" style="27" customWidth="1"/>
    <col min="4" max="4" width="10.5703125" style="27" customWidth="1"/>
    <col min="5" max="5" width="9.140625" style="27" customWidth="1"/>
    <col min="6" max="6" width="6.5703125" style="27" customWidth="1"/>
    <col min="7" max="7" width="7.5703125" style="27" customWidth="1"/>
    <col min="8" max="9" width="10.140625" style="27" customWidth="1"/>
    <col min="10" max="10" width="7.42578125" style="27" customWidth="1"/>
    <col min="11" max="11" width="8.28515625" style="27" customWidth="1"/>
    <col min="12" max="12" width="9.28515625" style="27" customWidth="1"/>
    <col min="13" max="13" width="9.5703125" style="27" customWidth="1"/>
    <col min="14" max="14" width="6.140625" style="27" customWidth="1"/>
    <col min="15" max="15" width="7.28515625" style="27" customWidth="1"/>
    <col min="16" max="17" width="9.7109375" style="27" customWidth="1"/>
    <col min="18" max="18" width="7.5703125" style="27" customWidth="1"/>
    <col min="19" max="19" width="7.140625" style="27" customWidth="1"/>
    <col min="20" max="20" width="9.85546875" style="27" customWidth="1"/>
    <col min="21" max="21" width="9.5703125" style="27" customWidth="1"/>
    <col min="22" max="22" width="5.42578125" style="27" customWidth="1"/>
    <col min="23" max="23" width="7.42578125" style="27" customWidth="1"/>
    <col min="24" max="25" width="9.7109375" style="27" customWidth="1"/>
    <col min="26" max="26" width="7.42578125" style="27" customWidth="1"/>
    <col min="27" max="27" width="8.28515625" style="27" customWidth="1"/>
    <col min="28" max="28" width="10.42578125" style="27" customWidth="1"/>
    <col min="29" max="29" width="9.42578125" style="27" customWidth="1"/>
    <col min="30" max="30" width="6" style="27" customWidth="1"/>
    <col min="31" max="31" width="7.5703125" style="27" customWidth="1"/>
    <col min="32" max="32" width="10" style="27" customWidth="1"/>
    <col min="33" max="33" width="10.5703125" style="27" customWidth="1"/>
    <col min="34" max="34" width="7.5703125" style="27" customWidth="1"/>
    <col min="35" max="35" width="6.5703125" style="27" customWidth="1"/>
    <col min="36" max="37" width="10" style="27" customWidth="1"/>
    <col min="38" max="38" width="5.7109375" style="27" customWidth="1"/>
    <col min="39" max="39" width="7.140625" style="27" customWidth="1"/>
    <col min="40" max="40" width="10" style="27" customWidth="1"/>
    <col min="41" max="41" width="11.140625" style="27" customWidth="1"/>
    <col min="42" max="42" width="7.5703125" style="27" customWidth="1"/>
    <col min="43" max="43" width="8.42578125" style="27" customWidth="1"/>
    <col min="44" max="44" width="10.7109375" style="27" customWidth="1"/>
    <col min="45" max="45" width="9.85546875" style="27" customWidth="1"/>
    <col min="46" max="46" width="6.7109375" style="27" customWidth="1"/>
    <col min="47" max="47" width="7.140625" style="27" customWidth="1"/>
    <col min="48" max="49" width="9.7109375" style="27" customWidth="1"/>
    <col min="50" max="50" width="5.85546875" style="27" customWidth="1"/>
    <col min="51" max="51" width="6.85546875" style="27" customWidth="1"/>
    <col min="52" max="52" width="10.28515625" style="27" customWidth="1"/>
    <col min="53" max="53" width="8" style="27" customWidth="1"/>
    <col min="54" max="54" width="5.7109375" style="27" customWidth="1"/>
    <col min="55" max="55" width="7" style="27" customWidth="1"/>
    <col min="56" max="56" width="10" style="27" customWidth="1"/>
    <col min="57" max="57" width="10.5703125" style="27" customWidth="1"/>
    <col min="58" max="58" width="8.140625" style="27" customWidth="1"/>
    <col min="59" max="59" width="7.140625" style="27" customWidth="1"/>
    <col min="60" max="60" width="10.42578125" style="27" customWidth="1"/>
    <col min="61" max="62" width="9.85546875" style="27" customWidth="1"/>
    <col min="63" max="63" width="7.42578125" style="27" customWidth="1"/>
    <col min="64" max="64" width="10" style="27" customWidth="1"/>
    <col min="65" max="65" width="11" style="27" customWidth="1"/>
    <col min="66" max="66" width="7.42578125" style="27" customWidth="1"/>
    <col min="67" max="67" width="7.140625" style="27" customWidth="1"/>
    <col min="68" max="70" width="9.7109375" style="27" customWidth="1"/>
    <col min="71" max="71" width="6.85546875" style="27" customWidth="1"/>
    <col min="72" max="72" width="11.85546875" style="27" customWidth="1"/>
    <col min="73" max="75" width="10.7109375" style="27" customWidth="1"/>
    <col min="76" max="76" width="13.140625" style="27" customWidth="1"/>
    <col min="77" max="16384" width="9.140625" style="27"/>
  </cols>
  <sheetData>
    <row r="1" spans="1:76">
      <c r="W1" s="298"/>
      <c r="X1" s="298"/>
      <c r="Y1" s="153"/>
      <c r="Z1" s="153"/>
      <c r="AA1" s="153"/>
      <c r="AB1" s="1"/>
      <c r="AC1" s="1"/>
      <c r="AD1" s="1"/>
    </row>
    <row r="2" spans="1:76" ht="35.25" customHeight="1">
      <c r="C2" s="302" t="s">
        <v>27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152"/>
      <c r="O2" s="166"/>
      <c r="P2" s="166"/>
      <c r="T2" s="166"/>
      <c r="U2" s="152"/>
      <c r="V2" s="152"/>
      <c r="W2" s="28"/>
      <c r="X2" s="28"/>
      <c r="Y2" s="28"/>
      <c r="Z2" s="28"/>
      <c r="AA2" s="28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152"/>
      <c r="AQ2" s="152"/>
      <c r="AR2" s="28"/>
      <c r="AS2" s="28"/>
      <c r="AT2" s="28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152"/>
      <c r="BO2" s="152"/>
      <c r="BP2" s="28"/>
    </row>
    <row r="3" spans="1:76" ht="15.75" customHeight="1" thickBot="1">
      <c r="B3" s="3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T3" s="29"/>
      <c r="U3" s="161"/>
      <c r="V3" s="161"/>
      <c r="W3" s="161"/>
      <c r="X3" s="29"/>
      <c r="Y3" s="29"/>
      <c r="Z3" s="29"/>
      <c r="AA3" s="29"/>
    </row>
    <row r="4" spans="1:76" ht="15.75" thickBot="1">
      <c r="B4" s="36"/>
      <c r="C4" s="299" t="s">
        <v>708</v>
      </c>
      <c r="D4" s="299"/>
      <c r="E4" s="299"/>
      <c r="F4" s="299"/>
      <c r="G4" s="299"/>
      <c r="H4" s="299"/>
      <c r="I4" s="299"/>
      <c r="J4" s="299"/>
      <c r="K4" s="299"/>
      <c r="L4" s="299"/>
      <c r="M4" s="300"/>
      <c r="N4" s="165"/>
      <c r="O4" s="136"/>
      <c r="P4" s="136"/>
      <c r="Q4" s="89">
        <v>3702</v>
      </c>
      <c r="R4" s="211"/>
      <c r="S4" s="211"/>
      <c r="T4" s="136"/>
      <c r="U4" s="139" t="str">
        <f>IF(Q4="","Не заполнен код ОУ","")</f>
        <v/>
      </c>
      <c r="V4" s="139"/>
      <c r="W4" s="136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153"/>
      <c r="AT4" s="153"/>
      <c r="AU4" s="153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</row>
    <row r="5" spans="1:76" ht="11.25" customHeight="1">
      <c r="D5" s="30" t="s">
        <v>28</v>
      </c>
      <c r="E5" s="30"/>
      <c r="F5" s="30"/>
      <c r="G5" s="137"/>
      <c r="H5" s="137"/>
      <c r="I5" s="137"/>
      <c r="J5" s="137"/>
      <c r="K5" s="137"/>
      <c r="L5" s="137"/>
      <c r="M5" s="137"/>
      <c r="N5" s="137"/>
      <c r="O5" s="165"/>
      <c r="P5" s="165"/>
      <c r="Q5" s="27" t="s">
        <v>84</v>
      </c>
      <c r="T5" s="165"/>
      <c r="U5" s="137"/>
      <c r="V5" s="137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</row>
    <row r="6" spans="1:76" ht="15" hidden="1">
      <c r="C6" s="138"/>
      <c r="D6" s="138"/>
      <c r="E6" s="102" t="str">
        <f>IF(C4="","Нет наименования ОУ","")</f>
        <v/>
      </c>
      <c r="F6" s="102"/>
      <c r="G6" s="138"/>
      <c r="H6" s="138"/>
      <c r="I6" s="138"/>
      <c r="J6" s="138"/>
      <c r="K6" s="138"/>
      <c r="M6" s="102"/>
      <c r="N6" s="102"/>
      <c r="O6" s="94"/>
      <c r="P6" s="9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</row>
    <row r="7" spans="1:76" ht="15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94"/>
      <c r="M7" s="94"/>
      <c r="N7" s="94"/>
      <c r="O7" s="94"/>
      <c r="P7" s="94"/>
      <c r="Q7" s="94"/>
      <c r="R7" s="94"/>
      <c r="S7" s="94"/>
    </row>
    <row r="8" spans="1:76">
      <c r="C8" s="290" t="s">
        <v>29</v>
      </c>
      <c r="D8" s="291"/>
      <c r="E8" s="291"/>
      <c r="F8" s="291"/>
      <c r="G8" s="291"/>
      <c r="H8" s="305"/>
      <c r="I8" s="305"/>
      <c r="J8" s="305"/>
      <c r="K8" s="292"/>
      <c r="L8" s="290" t="s">
        <v>93</v>
      </c>
      <c r="M8" s="291"/>
      <c r="N8" s="291"/>
      <c r="O8" s="291"/>
      <c r="P8" s="291"/>
      <c r="Q8" s="292"/>
      <c r="R8" s="283"/>
      <c r="S8" s="284"/>
      <c r="T8" s="290" t="s">
        <v>30</v>
      </c>
      <c r="U8" s="291"/>
      <c r="V8" s="291"/>
      <c r="W8" s="291"/>
      <c r="X8" s="291"/>
      <c r="Y8" s="292"/>
      <c r="Z8" s="283"/>
      <c r="AA8" s="284"/>
      <c r="AB8" s="290" t="s">
        <v>31</v>
      </c>
      <c r="AC8" s="291"/>
      <c r="AD8" s="291"/>
      <c r="AE8" s="291"/>
      <c r="AF8" s="291"/>
      <c r="AG8" s="292"/>
      <c r="AH8" s="289"/>
      <c r="AI8" s="289"/>
      <c r="AJ8" s="290" t="s">
        <v>32</v>
      </c>
      <c r="AK8" s="291"/>
      <c r="AL8" s="291"/>
      <c r="AM8" s="291"/>
      <c r="AN8" s="291"/>
      <c r="AO8" s="292"/>
      <c r="AP8" s="283"/>
      <c r="AQ8" s="284"/>
      <c r="AR8" s="290" t="s">
        <v>33</v>
      </c>
      <c r="AS8" s="291"/>
      <c r="AT8" s="291"/>
      <c r="AU8" s="291"/>
      <c r="AV8" s="291"/>
      <c r="AW8" s="292"/>
      <c r="AX8" s="283"/>
      <c r="AY8" s="284"/>
      <c r="AZ8" s="290" t="s">
        <v>34</v>
      </c>
      <c r="BA8" s="291"/>
      <c r="BB8" s="291"/>
      <c r="BC8" s="291"/>
      <c r="BD8" s="291"/>
      <c r="BE8" s="292"/>
      <c r="BF8" s="283"/>
      <c r="BG8" s="284"/>
      <c r="BH8" s="290" t="s">
        <v>35</v>
      </c>
      <c r="BI8" s="291"/>
      <c r="BJ8" s="291"/>
      <c r="BK8" s="291"/>
      <c r="BL8" s="291"/>
      <c r="BM8" s="292"/>
      <c r="BN8" s="283"/>
      <c r="BO8" s="284"/>
      <c r="BP8" s="290" t="s">
        <v>36</v>
      </c>
      <c r="BQ8" s="291"/>
      <c r="BR8" s="291"/>
      <c r="BS8" s="291"/>
      <c r="BT8" s="291"/>
      <c r="BU8" s="292"/>
      <c r="BV8" s="283"/>
      <c r="BW8" s="284"/>
      <c r="BX8" s="274" t="s">
        <v>51</v>
      </c>
    </row>
    <row r="9" spans="1:76" s="158" customFormat="1" ht="17.25" customHeight="1">
      <c r="C9" s="279" t="s">
        <v>92</v>
      </c>
      <c r="D9" s="275"/>
      <c r="E9" s="275"/>
      <c r="F9" s="275"/>
      <c r="G9" s="275"/>
      <c r="H9" s="275">
        <f>Q9+Y9+AG9+AO9+AW9+BE9+BM9+BU9</f>
        <v>517</v>
      </c>
      <c r="I9" s="275"/>
      <c r="J9" s="195"/>
      <c r="K9" s="195"/>
      <c r="L9" s="279" t="s">
        <v>37</v>
      </c>
      <c r="M9" s="275"/>
      <c r="N9" s="275"/>
      <c r="O9" s="275"/>
      <c r="P9" s="276"/>
      <c r="Q9" s="156">
        <v>83</v>
      </c>
      <c r="R9" s="285"/>
      <c r="S9" s="286"/>
      <c r="T9" s="275" t="s">
        <v>37</v>
      </c>
      <c r="U9" s="275"/>
      <c r="V9" s="275"/>
      <c r="W9" s="275"/>
      <c r="X9" s="276"/>
      <c r="Y9" s="156">
        <v>78</v>
      </c>
      <c r="Z9" s="285"/>
      <c r="AA9" s="286"/>
      <c r="AB9" s="279" t="s">
        <v>37</v>
      </c>
      <c r="AC9" s="275"/>
      <c r="AD9" s="275"/>
      <c r="AE9" s="275"/>
      <c r="AF9" s="276"/>
      <c r="AG9" s="156">
        <v>87</v>
      </c>
      <c r="AH9" s="289"/>
      <c r="AI9" s="289"/>
      <c r="AJ9" s="279" t="s">
        <v>37</v>
      </c>
      <c r="AK9" s="275"/>
      <c r="AL9" s="275"/>
      <c r="AM9" s="275"/>
      <c r="AN9" s="276"/>
      <c r="AO9" s="156">
        <v>76</v>
      </c>
      <c r="AP9" s="285"/>
      <c r="AQ9" s="286"/>
      <c r="AR9" s="279" t="s">
        <v>37</v>
      </c>
      <c r="AS9" s="275"/>
      <c r="AT9" s="275"/>
      <c r="AU9" s="275"/>
      <c r="AV9" s="276"/>
      <c r="AW9" s="156">
        <v>75</v>
      </c>
      <c r="AX9" s="285"/>
      <c r="AY9" s="286"/>
      <c r="AZ9" s="279" t="s">
        <v>37</v>
      </c>
      <c r="BA9" s="275"/>
      <c r="BB9" s="275"/>
      <c r="BC9" s="275"/>
      <c r="BD9" s="276"/>
      <c r="BE9" s="156">
        <v>68</v>
      </c>
      <c r="BF9" s="285"/>
      <c r="BG9" s="286"/>
      <c r="BH9" s="279" t="s">
        <v>37</v>
      </c>
      <c r="BI9" s="275"/>
      <c r="BJ9" s="275"/>
      <c r="BK9" s="275"/>
      <c r="BL9" s="276"/>
      <c r="BM9" s="156">
        <v>25</v>
      </c>
      <c r="BN9" s="285"/>
      <c r="BO9" s="286"/>
      <c r="BP9" s="279" t="s">
        <v>37</v>
      </c>
      <c r="BQ9" s="275"/>
      <c r="BR9" s="275"/>
      <c r="BS9" s="275"/>
      <c r="BT9" s="276"/>
      <c r="BU9" s="157">
        <v>25</v>
      </c>
      <c r="BV9" s="285"/>
      <c r="BW9" s="286"/>
      <c r="BX9" s="274"/>
    </row>
    <row r="10" spans="1:76" s="158" customFormat="1" ht="18.75" customHeight="1">
      <c r="A10" s="159"/>
      <c r="B10" s="159"/>
      <c r="C10" s="280" t="s">
        <v>104</v>
      </c>
      <c r="D10" s="277"/>
      <c r="E10" s="277"/>
      <c r="F10" s="277"/>
      <c r="G10" s="277"/>
      <c r="H10" s="275">
        <f>Y10+AG10+AO10+AW10+BE10+BM10+BU10</f>
        <v>0</v>
      </c>
      <c r="I10" s="275"/>
      <c r="J10" s="195"/>
      <c r="K10" s="195"/>
      <c r="L10" s="295"/>
      <c r="M10" s="296"/>
      <c r="N10" s="296"/>
      <c r="O10" s="296"/>
      <c r="P10" s="297"/>
      <c r="Q10" s="167"/>
      <c r="R10" s="287"/>
      <c r="S10" s="288"/>
      <c r="T10" s="277" t="s">
        <v>103</v>
      </c>
      <c r="U10" s="277"/>
      <c r="V10" s="277"/>
      <c r="W10" s="277"/>
      <c r="X10" s="278"/>
      <c r="Y10" s="167"/>
      <c r="Z10" s="285"/>
      <c r="AA10" s="286"/>
      <c r="AB10" s="280" t="s">
        <v>103</v>
      </c>
      <c r="AC10" s="277"/>
      <c r="AD10" s="277"/>
      <c r="AE10" s="277"/>
      <c r="AF10" s="278"/>
      <c r="AG10" s="167"/>
      <c r="AH10" s="289"/>
      <c r="AI10" s="289"/>
      <c r="AJ10" s="280" t="s">
        <v>103</v>
      </c>
      <c r="AK10" s="277"/>
      <c r="AL10" s="277"/>
      <c r="AM10" s="277"/>
      <c r="AN10" s="278"/>
      <c r="AO10" s="156">
        <v>0</v>
      </c>
      <c r="AP10" s="285"/>
      <c r="AQ10" s="286"/>
      <c r="AR10" s="280" t="s">
        <v>103</v>
      </c>
      <c r="AS10" s="277"/>
      <c r="AT10" s="277"/>
      <c r="AU10" s="277"/>
      <c r="AV10" s="278"/>
      <c r="AW10" s="160">
        <v>0</v>
      </c>
      <c r="AX10" s="285"/>
      <c r="AY10" s="286"/>
      <c r="AZ10" s="280" t="s">
        <v>103</v>
      </c>
      <c r="BA10" s="277"/>
      <c r="BB10" s="277"/>
      <c r="BC10" s="277"/>
      <c r="BD10" s="278"/>
      <c r="BE10" s="160">
        <v>0</v>
      </c>
      <c r="BF10" s="285"/>
      <c r="BG10" s="286"/>
      <c r="BH10" s="280" t="s">
        <v>103</v>
      </c>
      <c r="BI10" s="277"/>
      <c r="BJ10" s="277"/>
      <c r="BK10" s="277"/>
      <c r="BL10" s="278"/>
      <c r="BM10" s="160">
        <v>0</v>
      </c>
      <c r="BN10" s="285"/>
      <c r="BO10" s="286"/>
      <c r="BP10" s="280" t="s">
        <v>103</v>
      </c>
      <c r="BQ10" s="277"/>
      <c r="BR10" s="277"/>
      <c r="BS10" s="277"/>
      <c r="BT10" s="278"/>
      <c r="BU10" s="155">
        <v>0</v>
      </c>
      <c r="BV10" s="285"/>
      <c r="BW10" s="286"/>
      <c r="BX10" s="274"/>
    </row>
    <row r="11" spans="1:76" s="158" customFormat="1" ht="15" customHeight="1">
      <c r="A11" s="159"/>
      <c r="B11" s="159"/>
      <c r="C11" s="306" t="s">
        <v>131</v>
      </c>
      <c r="D11" s="307"/>
      <c r="E11" s="307"/>
      <c r="F11" s="307"/>
      <c r="G11" s="307"/>
      <c r="H11" s="275">
        <f>Y11+AG11+AO11+AW11+BE11+BM11+BU11+Q11</f>
        <v>2</v>
      </c>
      <c r="I11" s="275"/>
      <c r="J11" s="203"/>
      <c r="K11" s="204"/>
      <c r="L11" s="306" t="s">
        <v>131</v>
      </c>
      <c r="M11" s="307"/>
      <c r="N11" s="307"/>
      <c r="O11" s="307"/>
      <c r="P11" s="307"/>
      <c r="Q11" s="160">
        <v>2</v>
      </c>
      <c r="R11" s="206"/>
      <c r="S11" s="205"/>
      <c r="T11" s="281" t="s">
        <v>131</v>
      </c>
      <c r="U11" s="282"/>
      <c r="V11" s="282"/>
      <c r="W11" s="282"/>
      <c r="X11" s="282"/>
      <c r="Y11" s="160">
        <v>0</v>
      </c>
      <c r="Z11" s="287"/>
      <c r="AA11" s="288"/>
      <c r="AB11" s="281" t="s">
        <v>131</v>
      </c>
      <c r="AC11" s="282"/>
      <c r="AD11" s="282"/>
      <c r="AE11" s="282"/>
      <c r="AF11" s="282"/>
      <c r="AG11" s="160">
        <v>0</v>
      </c>
      <c r="AH11" s="289"/>
      <c r="AI11" s="289"/>
      <c r="AJ11" s="281" t="s">
        <v>131</v>
      </c>
      <c r="AK11" s="282"/>
      <c r="AL11" s="282"/>
      <c r="AM11" s="282"/>
      <c r="AN11" s="282"/>
      <c r="AO11" s="160">
        <v>0</v>
      </c>
      <c r="AP11" s="287"/>
      <c r="AQ11" s="288"/>
      <c r="AR11" s="281" t="s">
        <v>131</v>
      </c>
      <c r="AS11" s="282"/>
      <c r="AT11" s="282"/>
      <c r="AU11" s="282"/>
      <c r="AV11" s="282"/>
      <c r="AW11" s="160">
        <v>0</v>
      </c>
      <c r="AX11" s="287"/>
      <c r="AY11" s="288"/>
      <c r="AZ11" s="281" t="s">
        <v>131</v>
      </c>
      <c r="BA11" s="282"/>
      <c r="BB11" s="282"/>
      <c r="BC11" s="282"/>
      <c r="BD11" s="282"/>
      <c r="BE11" s="160">
        <v>0</v>
      </c>
      <c r="BF11" s="287"/>
      <c r="BG11" s="288"/>
      <c r="BH11" s="281" t="s">
        <v>131</v>
      </c>
      <c r="BI11" s="282"/>
      <c r="BJ11" s="282"/>
      <c r="BK11" s="282"/>
      <c r="BL11" s="282"/>
      <c r="BM11" s="160">
        <v>0</v>
      </c>
      <c r="BN11" s="287"/>
      <c r="BO11" s="288"/>
      <c r="BP11" s="281" t="s">
        <v>131</v>
      </c>
      <c r="BQ11" s="282"/>
      <c r="BR11" s="282"/>
      <c r="BS11" s="282"/>
      <c r="BT11" s="282"/>
      <c r="BU11" s="155">
        <v>0</v>
      </c>
      <c r="BV11" s="287"/>
      <c r="BW11" s="288"/>
      <c r="BX11" s="274"/>
    </row>
    <row r="12" spans="1:76" s="199" customFormat="1" ht="46.5" customHeight="1">
      <c r="A12" s="196" t="s">
        <v>38</v>
      </c>
      <c r="B12" s="196" t="s">
        <v>39</v>
      </c>
      <c r="C12" s="197" t="s">
        <v>40</v>
      </c>
      <c r="D12" s="197" t="s">
        <v>41</v>
      </c>
      <c r="E12" s="198" t="s">
        <v>109</v>
      </c>
      <c r="F12" s="198" t="s">
        <v>128</v>
      </c>
      <c r="G12" s="197" t="s">
        <v>42</v>
      </c>
      <c r="H12" s="196" t="s">
        <v>43</v>
      </c>
      <c r="I12" s="198" t="s">
        <v>110</v>
      </c>
      <c r="J12" s="198" t="s">
        <v>129</v>
      </c>
      <c r="K12" s="201" t="s">
        <v>130</v>
      </c>
      <c r="L12" s="197" t="s">
        <v>41</v>
      </c>
      <c r="M12" s="198" t="s">
        <v>109</v>
      </c>
      <c r="N12" s="198" t="s">
        <v>128</v>
      </c>
      <c r="O12" s="197" t="s">
        <v>42</v>
      </c>
      <c r="P12" s="197" t="s">
        <v>43</v>
      </c>
      <c r="Q12" s="198" t="s">
        <v>110</v>
      </c>
      <c r="R12" s="202" t="s">
        <v>129</v>
      </c>
      <c r="S12" s="200" t="s">
        <v>130</v>
      </c>
      <c r="T12" s="197" t="s">
        <v>41</v>
      </c>
      <c r="U12" s="198" t="s">
        <v>109</v>
      </c>
      <c r="V12" s="198" t="s">
        <v>128</v>
      </c>
      <c r="W12" s="197" t="s">
        <v>42</v>
      </c>
      <c r="X12" s="197" t="s">
        <v>43</v>
      </c>
      <c r="Y12" s="198" t="s">
        <v>110</v>
      </c>
      <c r="Z12" s="202" t="s">
        <v>129</v>
      </c>
      <c r="AA12" s="200" t="s">
        <v>130</v>
      </c>
      <c r="AB12" s="197" t="s">
        <v>41</v>
      </c>
      <c r="AC12" s="198" t="s">
        <v>109</v>
      </c>
      <c r="AD12" s="198" t="s">
        <v>128</v>
      </c>
      <c r="AE12" s="197" t="s">
        <v>42</v>
      </c>
      <c r="AF12" s="197" t="s">
        <v>43</v>
      </c>
      <c r="AG12" s="198" t="s">
        <v>110</v>
      </c>
      <c r="AH12" s="202" t="s">
        <v>129</v>
      </c>
      <c r="AI12" s="207" t="s">
        <v>130</v>
      </c>
      <c r="AJ12" s="197" t="s">
        <v>41</v>
      </c>
      <c r="AK12" s="198" t="s">
        <v>109</v>
      </c>
      <c r="AL12" s="198" t="s">
        <v>128</v>
      </c>
      <c r="AM12" s="197" t="s">
        <v>42</v>
      </c>
      <c r="AN12" s="197" t="s">
        <v>43</v>
      </c>
      <c r="AO12" s="198" t="s">
        <v>110</v>
      </c>
      <c r="AP12" s="202" t="s">
        <v>129</v>
      </c>
      <c r="AQ12" s="207" t="s">
        <v>130</v>
      </c>
      <c r="AR12" s="197" t="s">
        <v>41</v>
      </c>
      <c r="AS12" s="198" t="s">
        <v>109</v>
      </c>
      <c r="AT12" s="198" t="s">
        <v>128</v>
      </c>
      <c r="AU12" s="197" t="s">
        <v>42</v>
      </c>
      <c r="AV12" s="197" t="s">
        <v>43</v>
      </c>
      <c r="AW12" s="198" t="s">
        <v>110</v>
      </c>
      <c r="AX12" s="202" t="s">
        <v>129</v>
      </c>
      <c r="AY12" s="207" t="s">
        <v>130</v>
      </c>
      <c r="AZ12" s="197" t="s">
        <v>41</v>
      </c>
      <c r="BA12" s="198" t="s">
        <v>109</v>
      </c>
      <c r="BB12" s="198" t="s">
        <v>128</v>
      </c>
      <c r="BC12" s="197" t="s">
        <v>42</v>
      </c>
      <c r="BD12" s="197" t="s">
        <v>43</v>
      </c>
      <c r="BE12" s="198" t="s">
        <v>110</v>
      </c>
      <c r="BF12" s="202" t="s">
        <v>129</v>
      </c>
      <c r="BG12" s="207" t="s">
        <v>130</v>
      </c>
      <c r="BH12" s="197" t="s">
        <v>41</v>
      </c>
      <c r="BI12" s="198" t="s">
        <v>109</v>
      </c>
      <c r="BJ12" s="198" t="s">
        <v>128</v>
      </c>
      <c r="BK12" s="197" t="s">
        <v>42</v>
      </c>
      <c r="BL12" s="197" t="s">
        <v>43</v>
      </c>
      <c r="BM12" s="198" t="s">
        <v>110</v>
      </c>
      <c r="BN12" s="202" t="s">
        <v>129</v>
      </c>
      <c r="BO12" s="207" t="s">
        <v>130</v>
      </c>
      <c r="BP12" s="197" t="s">
        <v>41</v>
      </c>
      <c r="BQ12" s="198" t="s">
        <v>109</v>
      </c>
      <c r="BR12" s="198" t="s">
        <v>128</v>
      </c>
      <c r="BS12" s="197" t="s">
        <v>42</v>
      </c>
      <c r="BT12" s="197" t="s">
        <v>43</v>
      </c>
      <c r="BU12" s="198" t="s">
        <v>110</v>
      </c>
      <c r="BV12" s="202" t="s">
        <v>129</v>
      </c>
      <c r="BW12" s="207" t="s">
        <v>130</v>
      </c>
      <c r="BX12" s="274"/>
    </row>
    <row r="13" spans="1:76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  <c r="U13" s="31">
        <v>21</v>
      </c>
      <c r="V13" s="31">
        <v>22</v>
      </c>
      <c r="W13" s="31">
        <v>23</v>
      </c>
      <c r="X13" s="31">
        <v>24</v>
      </c>
      <c r="Y13" s="31">
        <v>25</v>
      </c>
      <c r="Z13" s="31">
        <v>26</v>
      </c>
      <c r="AA13" s="31">
        <v>27</v>
      </c>
      <c r="AB13" s="31">
        <v>28</v>
      </c>
      <c r="AC13" s="31">
        <v>29</v>
      </c>
      <c r="AD13" s="31">
        <v>30</v>
      </c>
      <c r="AE13" s="31">
        <v>31</v>
      </c>
      <c r="AF13" s="31">
        <v>32</v>
      </c>
      <c r="AG13" s="31">
        <v>33</v>
      </c>
      <c r="AH13" s="31">
        <v>34</v>
      </c>
      <c r="AI13" s="31">
        <v>35</v>
      </c>
      <c r="AJ13" s="31">
        <v>36</v>
      </c>
      <c r="AK13" s="31">
        <v>37</v>
      </c>
      <c r="AL13" s="31">
        <v>38</v>
      </c>
      <c r="AM13" s="31">
        <v>39</v>
      </c>
      <c r="AN13" s="31">
        <v>40</v>
      </c>
      <c r="AO13" s="31">
        <v>41</v>
      </c>
      <c r="AP13" s="31">
        <v>42</v>
      </c>
      <c r="AQ13" s="31">
        <v>43</v>
      </c>
      <c r="AR13" s="31">
        <v>44</v>
      </c>
      <c r="AS13" s="31">
        <v>45</v>
      </c>
      <c r="AT13" s="31">
        <v>46</v>
      </c>
      <c r="AU13" s="31">
        <v>47</v>
      </c>
      <c r="AV13" s="31">
        <v>48</v>
      </c>
      <c r="AW13" s="31">
        <v>49</v>
      </c>
      <c r="AX13" s="31">
        <v>50</v>
      </c>
      <c r="AY13" s="31">
        <v>51</v>
      </c>
      <c r="AZ13" s="31">
        <v>52</v>
      </c>
      <c r="BA13" s="31">
        <v>53</v>
      </c>
      <c r="BB13" s="31">
        <v>54</v>
      </c>
      <c r="BC13" s="31">
        <v>55</v>
      </c>
      <c r="BD13" s="31">
        <v>56</v>
      </c>
      <c r="BE13" s="31">
        <v>57</v>
      </c>
      <c r="BF13" s="31">
        <v>58</v>
      </c>
      <c r="BG13" s="31">
        <v>59</v>
      </c>
      <c r="BH13" s="31">
        <v>60</v>
      </c>
      <c r="BI13" s="31">
        <v>61</v>
      </c>
      <c r="BJ13" s="31">
        <v>62</v>
      </c>
      <c r="BK13" s="31">
        <v>63</v>
      </c>
      <c r="BL13" s="31">
        <v>64</v>
      </c>
      <c r="BM13" s="31">
        <v>65</v>
      </c>
      <c r="BN13" s="31">
        <v>66</v>
      </c>
      <c r="BO13" s="31">
        <v>67</v>
      </c>
      <c r="BP13" s="31">
        <v>68</v>
      </c>
      <c r="BQ13" s="31">
        <v>69</v>
      </c>
      <c r="BR13" s="31">
        <v>70</v>
      </c>
      <c r="BS13" s="31">
        <v>71</v>
      </c>
      <c r="BT13" s="31">
        <v>72</v>
      </c>
      <c r="BU13" s="31">
        <v>73</v>
      </c>
      <c r="BV13" s="31">
        <v>74</v>
      </c>
      <c r="BW13" s="31">
        <v>75</v>
      </c>
      <c r="BX13" s="31">
        <v>76</v>
      </c>
    </row>
    <row r="14" spans="1:76">
      <c r="A14" s="34">
        <v>1</v>
      </c>
      <c r="B14" s="32" t="s">
        <v>13</v>
      </c>
      <c r="C14" s="15">
        <f t="shared" ref="C14:C37" si="0">IF(D14&gt;0,1,0)</f>
        <v>1</v>
      </c>
      <c r="D14" s="2">
        <f>T14+AB14+AJ14+AR14+AZ14+BH14+BP14</f>
        <v>64</v>
      </c>
      <c r="E14" s="2">
        <f>U14+AC14+AK14+AS14+BA14+BI14+BQ14</f>
        <v>0</v>
      </c>
      <c r="F14" s="2">
        <f>V14+AD14+AL14+AT14+BB14+BJ14+BR14</f>
        <v>0</v>
      </c>
      <c r="G14" s="2">
        <f>IF(SUM(W14,AE14,AM14,AU14,BC14,BK14,BS14)&lt;&gt;COUNTIF(Английский_язык!$N$1:$N$995,"Призер"),"Ошибка",SUM(W14,AE14,AM14,AU14,BC14,BK14,BS14))</f>
        <v>6</v>
      </c>
      <c r="H14" s="2">
        <f>IF(SUM(X14,AF14,AN14,AV14,BD14,BL14,BT14)&lt;&gt;COUNTIF(Английский_язык!$N$1:$N$995,"Победитель"),"Ошибка",SUM(X14,AF14,AN14,AV14,BD14,BL14,BT14))</f>
        <v>6</v>
      </c>
      <c r="I14" s="2">
        <f>Y14+AG14+AO14+AW14+BE14+BM14+BU14</f>
        <v>0</v>
      </c>
      <c r="J14" s="2">
        <f>Z14+AH14+AP14+AX14+BF14+BN14+BV14</f>
        <v>0</v>
      </c>
      <c r="K14" s="2">
        <f>AA14+AI14+AQ14+AY14+BG14+BO14+BW14</f>
        <v>0</v>
      </c>
      <c r="L14" s="2"/>
      <c r="M14" s="2"/>
      <c r="N14" s="2"/>
      <c r="O14" s="2"/>
      <c r="P14" s="2"/>
      <c r="Q14" s="2"/>
      <c r="R14" s="2"/>
      <c r="S14" s="2"/>
      <c r="T14" s="2">
        <f>COUNTIF(Английский_язык!$H$1:$H$995,5)</f>
        <v>11</v>
      </c>
      <c r="U14" s="169">
        <f>COUNTIFS(Английский_язык!$H$1:$H$995,5,Английский_язык!$G$1:$G$995,"&lt;5")</f>
        <v>0</v>
      </c>
      <c r="V14" s="169">
        <f>COUNTIFS(Английский_язык!$H$1:$H$995,5,Английский_язык!$J$1:$J$995,"имеются")</f>
        <v>0</v>
      </c>
      <c r="W14" s="2">
        <f>COUNTIFS(Английский_язык!$H$1:$H$995,5,Английский_язык!$N$1:$N$995,"Призер")</f>
        <v>1</v>
      </c>
      <c r="X14" s="2">
        <f>COUNTIFS(Английский_язык!$H$1:$H$995,5,Английский_язык!$N$1:$N$995,"Победитель")</f>
        <v>1</v>
      </c>
      <c r="Y14" s="2">
        <f>COUNTIFS(Английский_язык!$H$1:$H$995,5,Английский_язык!$N$1:$N$995,"Победитель",Английский_язык!$M$1:$M$995,"100%")</f>
        <v>0</v>
      </c>
      <c r="Z14" s="2">
        <f>COUNTIFS(Английский_язык!$H$1:$H$995,5,Английский_язык!$N$1:$N$995,"Призер",Английский_язык!$J$1:$J$995,"имеются")</f>
        <v>0</v>
      </c>
      <c r="AA14" s="2">
        <f>COUNTIFS(Английский_язык!$H$1:$H$995,5,Английский_язык!$N$1:$N$995,"Победитель",Английский_язык!$J$1:$J$995,"имеются")</f>
        <v>0</v>
      </c>
      <c r="AB14" s="2">
        <f>COUNTIF(Английский_язык!$H$1:$H$995,6)</f>
        <v>10</v>
      </c>
      <c r="AC14" s="169">
        <f>COUNTIFS(Английский_язык!$H$1:$H$995,6,Английский_язык!$G$1:$G$995,"&lt;6")</f>
        <v>0</v>
      </c>
      <c r="AD14" s="169">
        <f>COUNTIFS(Английский_язык!$H$1:$H$995,6,Английский_язык!$J$1:$J$995,"имеются")</f>
        <v>0</v>
      </c>
      <c r="AE14" s="2">
        <f>COUNTIFS(Английский_язык!$H$1:$H$995,6,Английский_язык!$N$1:$N$995,"Призер")</f>
        <v>1</v>
      </c>
      <c r="AF14" s="2">
        <f>COUNTIFS(Английский_язык!$H$1:$H$995,6,Английский_язык!$N$1:$N$995,"Победитель")</f>
        <v>1</v>
      </c>
      <c r="AG14" s="2">
        <f>COUNTIFS(Английский_язык!$H$1:$H$995,6,Английский_язык!$N$1:$N$995,"Победитель",Английский_язык!$M$1:$M$995,"100%")</f>
        <v>0</v>
      </c>
      <c r="AH14" s="2">
        <f>COUNTIFS(Английский_язык!$H$1:$H$995,6,Английский_язык!$N$1:$N$995,"Призер",Английский_язык!$J$1:$J$995,"имеются")</f>
        <v>0</v>
      </c>
      <c r="AI14" s="2">
        <f>COUNTIFS(Английский_язык!$H$1:$H$995,6,Английский_язык!$N$1:$N$995,"Победитель",Английский_язык!$J$1:$J$995,"имеются")</f>
        <v>0</v>
      </c>
      <c r="AJ14" s="2">
        <f>COUNTIF(Английский_язык!$H$1:$H$995,7)</f>
        <v>4</v>
      </c>
      <c r="AK14" s="169">
        <f>COUNTIFS(Английский_язык!$H$1:$H$995,7,Английский_язык!$G$1:$G$995,"&lt;7")</f>
        <v>0</v>
      </c>
      <c r="AL14" s="169">
        <f>COUNTIFS(Английский_язык!$H$1:$H$995,7,Английский_язык!$J$1:$J$995,"имеются")</f>
        <v>0</v>
      </c>
      <c r="AM14" s="2">
        <f>COUNTIFS(Английский_язык!$H$1:$H$995,7,Английский_язык!$N$1:$N$995,"Призер")</f>
        <v>0</v>
      </c>
      <c r="AN14" s="2">
        <f>COUNTIFS(Английский_язык!$H$1:$H$995,7,Английский_язык!$N$1:$N$995,"Победитель")</f>
        <v>0</v>
      </c>
      <c r="AO14" s="2">
        <f>COUNTIFS(Английский_язык!$H$1:$H$995,7,Английский_язык!$N$1:$N$995,"Победитель",Английский_язык!$M$1:$M$995,"100%")</f>
        <v>0</v>
      </c>
      <c r="AP14" s="2">
        <f>COUNTIFS(Английский_язык!$H$1:$H$995,7,Английский_язык!$N$1:$N$995,"Призер",Английский_язык!$J$1:$J$995,"имеются")</f>
        <v>0</v>
      </c>
      <c r="AQ14" s="2">
        <f>COUNTIFS(Английский_язык!$H$1:$H$995,7,Английский_язык!$N$1:$N$995,"Победитель",Английский_язык!$J$1:$J$995,"имеются")</f>
        <v>0</v>
      </c>
      <c r="AR14" s="2">
        <f>COUNTIF(Английский_язык!$H$1:$H$995,8)</f>
        <v>12</v>
      </c>
      <c r="AS14" s="169">
        <f>COUNTIFS(Английский_язык!$H$1:$H$995,8,Английский_язык!$G$1:$G$995,"&lt;8")</f>
        <v>0</v>
      </c>
      <c r="AT14" s="169">
        <f>COUNTIFS(Английский_язык!$H$1:$H$995,8,Английский_язык!$J$1:$J$995,"имеются")</f>
        <v>0</v>
      </c>
      <c r="AU14" s="2">
        <f>COUNTIFS(Английский_язык!$H$1:$H$995,8,Английский_язык!$N$1:$N$995,"Призер")</f>
        <v>1</v>
      </c>
      <c r="AV14" s="2">
        <f>COUNTIFS(Английский_язык!$H$1:$H$995,8,Английский_язык!$N$1:$N$995,"Победитель")</f>
        <v>1</v>
      </c>
      <c r="AW14" s="2">
        <f>COUNTIFS(Английский_язык!$H$1:$H$995,8,Английский_язык!$N$1:$N$995,"Победитель",Английский_язык!$M$1:$M$995,"100%")</f>
        <v>0</v>
      </c>
      <c r="AX14" s="2">
        <f>COUNTIFS(Английский_язык!$H$1:$H$995,8,Английский_язык!$N$1:$N$995,"Призер",Английский_язык!$J$1:$J$995,"имеются")</f>
        <v>0</v>
      </c>
      <c r="AY14" s="2">
        <f>COUNTIFS(Английский_язык!$H$1:$H$995,8,Английский_язык!$N$1:$N$995,"Победитель",Английский_язык!$J$1:$J$995,"имеются")</f>
        <v>0</v>
      </c>
      <c r="AZ14" s="2">
        <f>COUNTIF(Английский_язык!$H$1:$H$995,9)</f>
        <v>12</v>
      </c>
      <c r="BA14" s="169">
        <f>COUNTIFS(Английский_язык!$H$1:$H$995,9,Английский_язык!$G$1:$G$995,"&lt;9")</f>
        <v>0</v>
      </c>
      <c r="BB14" s="169">
        <f>COUNTIFS(Английский_язык!$H$1:$H$995,9,Английский_язык!$J$1:$J$995,"имеются")</f>
        <v>0</v>
      </c>
      <c r="BC14" s="2">
        <f>COUNTIFS(Английский_язык!$H$1:$H$995,9,Английский_язык!$N$1:$N$995,"Призер")</f>
        <v>1</v>
      </c>
      <c r="BD14" s="2">
        <f>COUNTIFS(Английский_язык!$H$1:$H$995,9,Английский_язык!$N$1:$N$995,"Победитель")</f>
        <v>1</v>
      </c>
      <c r="BE14" s="2">
        <f>COUNTIFS(Английский_язык!$H$1:$H$995,9,Английский_язык!$N$1:$N$995,"Победитель",Английский_язык!$M$1:$M$995,"100%")</f>
        <v>0</v>
      </c>
      <c r="BF14" s="2">
        <f>COUNTIFS(Английский_язык!$H$1:$H$995,9,Английский_язык!$N$1:$N$995,"Призер",Английский_язык!$J$1:$J$995,"имеются")</f>
        <v>0</v>
      </c>
      <c r="BG14" s="2">
        <f>COUNTIFS(Английский_язык!$H$1:$H$995,9,Английский_язык!$N$1:$N$995,"Победитель",Английский_язык!$J$1:$J$995,"имеются")</f>
        <v>0</v>
      </c>
      <c r="BH14" s="2">
        <f>COUNTIF(Английский_язык!$H$1:$H$995,10)</f>
        <v>7</v>
      </c>
      <c r="BI14" s="169">
        <f>COUNTIFS(Английский_язык!$H$1:$H$995,10,Английский_язык!$G$1:$G$995,"&lt;10")</f>
        <v>0</v>
      </c>
      <c r="BJ14" s="169">
        <f>COUNTIFS(Английский_язык!$H$1:$H$995,10,Английский_язык!$J$1:$J$995,"имеются")</f>
        <v>0</v>
      </c>
      <c r="BK14" s="2">
        <f>COUNTIFS(Английский_язык!$H$1:$H$995,10,Английский_язык!$N$1:$N$995,"Призер")</f>
        <v>1</v>
      </c>
      <c r="BL14" s="2">
        <f>COUNTIFS(Английский_язык!$H$1:$H$995,10,Английский_язык!$N$1:$N$995,"Победитель")</f>
        <v>1</v>
      </c>
      <c r="BM14" s="2">
        <f>COUNTIFS(Английский_язык!$H$1:$H$995,10,Английский_язык!$N$1:$N$995,"Победитель",Английский_язык!$M$1:$M$995,"100%")</f>
        <v>0</v>
      </c>
      <c r="BN14" s="2">
        <f>COUNTIFS(Английский_язык!$H$1:$H$995,10,Английский_язык!$N$1:$N$995,"Призер",Английский_язык!$J$1:$J$995,"имеются")</f>
        <v>0</v>
      </c>
      <c r="BO14" s="2">
        <f>COUNTIFS(Английский_язык!$H$1:$H$995,10,Английский_язык!$N$1:$N$995,"Победитель",Английский_язык!$J$1:$J$995,"имеются")</f>
        <v>0</v>
      </c>
      <c r="BP14" s="2">
        <f>COUNTIF(Английский_язык!$H$1:$H$995,11)</f>
        <v>8</v>
      </c>
      <c r="BQ14" s="169">
        <f>COUNTIFS(Английский_язык!$H$1:$H$995,11,Английский_язык!$G$1:$G$995,"&lt;11")</f>
        <v>0</v>
      </c>
      <c r="BR14" s="169">
        <f>COUNTIFS(Английский_язык!$H$1:$H$995,11,Английский_язык!$J$1:$J$995,"имеются")</f>
        <v>0</v>
      </c>
      <c r="BS14" s="2">
        <f>COUNTIFS(Английский_язык!$H$1:$H$995,11,Английский_язык!$N$1:$N$995,"Призер")</f>
        <v>1</v>
      </c>
      <c r="BT14" s="2">
        <f>COUNTIFS(Английский_язык!$H$1:$H$995,11,Английский_язык!$N$1:$N$995,"Победитель")</f>
        <v>1</v>
      </c>
      <c r="BU14" s="2">
        <f>COUNTIFS(Английский_язык!$H$1:$H$995,11,Английский_язык!$N$1:$N$995,"Победитель",Английский_язык!$M$1:$M$995,"100%")</f>
        <v>0</v>
      </c>
      <c r="BV14" s="2">
        <f>COUNTIFS(Английский_язык!$H$1:$H$995,11,Английский_язык!$N$1:$N$995,"Призер",Английский_язык!$J$1:$J$995,"имеются")</f>
        <v>0</v>
      </c>
      <c r="BW14" s="2">
        <f>COUNTIFS(Английский_язык!$H$1:$H$995,11,Английский_язык!$N$1:$N$995,"Победитель",Английский_язык!$J$1:$J$995,"имеются")</f>
        <v>0</v>
      </c>
      <c r="BX14" s="100">
        <f t="shared" ref="BX14:BX37" si="1">(G14+H14)/D14</f>
        <v>0.1875</v>
      </c>
    </row>
    <row r="15" spans="1:76">
      <c r="A15" s="34">
        <v>2</v>
      </c>
      <c r="B15" s="32" t="s">
        <v>19</v>
      </c>
      <c r="C15" s="15">
        <f t="shared" si="0"/>
        <v>1</v>
      </c>
      <c r="D15" s="2">
        <f t="shared" ref="D15:D24" si="2">T15+AB15+AJ15+AR15+AZ15+BH15+BP15</f>
        <v>3</v>
      </c>
      <c r="E15" s="2">
        <f t="shared" ref="E15:E24" si="3">U15+AC15+AK15+AS15+BA15+BI15+BQ15</f>
        <v>0</v>
      </c>
      <c r="F15" s="2">
        <f t="shared" ref="F15:F37" si="4">V15+AD15+AL15+AT15+BB15+BJ15+BR15</f>
        <v>0</v>
      </c>
      <c r="G15" s="2">
        <f>IF(SUM(W15,AE15,AM15,AU15,BC15,BK15,BS15)&lt;&gt;COUNTIF(Астрономия!$N$1:$N$1000,"Призер"),"Ошибка",SUM(W15,AE15,AM15,AU15,BC15,BK15,BS15))</f>
        <v>0</v>
      </c>
      <c r="H15" s="2">
        <f>IF(SUM(X15,AF15,AN15,AV15,BD15,BL15,BT15)&lt;&gt;COUNTIF(Астрономия!$N$1:$N$1000,"Победитель"),"Ошибка",SUM(X15,AF15,AN15,AV15,BD15,BL15,BT15))</f>
        <v>0</v>
      </c>
      <c r="I15" s="2">
        <f t="shared" ref="I15:I24" si="5">Y15+AG15+AO15+AW15+BE15+BM15+BU15</f>
        <v>0</v>
      </c>
      <c r="J15" s="2">
        <f t="shared" ref="J15:J26" si="6">Z15+AH15+AP15+AX15+BF15+BN15+BV15</f>
        <v>0</v>
      </c>
      <c r="K15" s="2">
        <f t="shared" ref="K15:K26" si="7">AA15+AI15+AQ15+AY15+BG15+BO15+BW15</f>
        <v>0</v>
      </c>
      <c r="L15" s="2"/>
      <c r="M15" s="2"/>
      <c r="N15" s="2"/>
      <c r="O15" s="2"/>
      <c r="P15" s="2"/>
      <c r="Q15" s="2"/>
      <c r="R15" s="2"/>
      <c r="S15" s="2"/>
      <c r="T15" s="2">
        <f>COUNTIF(Астрономия!$H$1:$H$1000,5)</f>
        <v>0</v>
      </c>
      <c r="U15" s="169">
        <f>COUNTIFS(Астрономия!$H$1:$H$1000,5,Астрономия!$G$1:$G$1000,"&lt;5")</f>
        <v>0</v>
      </c>
      <c r="V15" s="169">
        <f>COUNTIFS(Астрономия!$H$1:$H$1000,5,Астрономия!$J$1:$J$1000,"имеются")</f>
        <v>0</v>
      </c>
      <c r="W15" s="2">
        <f>COUNTIFS(Астрономия!$H$1:$H$1000,5,Астрономия!$N$1:$N$1000,"Призер")</f>
        <v>0</v>
      </c>
      <c r="X15" s="2">
        <f>COUNTIFS(Астрономия!$H$1:$H$1000,5,Астрономия!$N$1:$N$1000,"Победитель")</f>
        <v>0</v>
      </c>
      <c r="Y15" s="2">
        <f>COUNTIFS(Астрономия!$H$1:$H$1000,5,Астрономия!$N$1:$N$1000,"Победитель",Астрономия!$M$1:$M$1000,"100%")</f>
        <v>0</v>
      </c>
      <c r="Z15" s="2">
        <f>COUNTIFS(Астрономия!$H$1:$H$1000,5,Астрономия!$N$1:$N$1000,"Призер",Астрономия!$J$1:$J$1000,"имеются")</f>
        <v>0</v>
      </c>
      <c r="AA15" s="2">
        <f>COUNTIFS(Астрономия!$H$1:$H$1000,5,Астрономия!$N$1:$N$1000,"Победитель",Астрономия!$J$1:$J$1000,"имеются")</f>
        <v>0</v>
      </c>
      <c r="AB15" s="2">
        <f>COUNTIFS(Астрономия!$H$1:$H$1000,6)</f>
        <v>0</v>
      </c>
      <c r="AC15" s="169">
        <f>COUNTIFS(Астрономия!$H$1:$H$1000,6,Астрономия!$G$1:$G$1000,"&lt;6")</f>
        <v>0</v>
      </c>
      <c r="AD15" s="169">
        <f>COUNTIFS(Астрономия!$H$1:$H$1000,6,Астрономия!$J$1:$J$1000,"имеются")</f>
        <v>0</v>
      </c>
      <c r="AE15" s="2">
        <f>COUNTIFS(Астрономия!$H$1:$H$1000,6,Астрономия!$N$1:$N$1000,"Призер")</f>
        <v>0</v>
      </c>
      <c r="AF15" s="2">
        <f>COUNTIFS(Астрономия!$H$1:$H$1000,6,Астрономия!$N$1:$N$1000,"Победитель")</f>
        <v>0</v>
      </c>
      <c r="AG15" s="2">
        <f>COUNTIFS(Астрономия!$H$1:$H$1000,6,Астрономия!$N$1:$N$1000,"Победитель",Астрономия!$M$1:$M$1000,"100%")</f>
        <v>0</v>
      </c>
      <c r="AH15" s="2">
        <f>COUNTIFS(Астрономия!$H$1:$H$1000,6,Астрономия!$N$1:$N$1000,"Призер",Астрономия!$J$1:$J$1000,"имеются")</f>
        <v>0</v>
      </c>
      <c r="AI15" s="2">
        <f>COUNTIFS(Астрономия!$H$1:$H$1000,6,Астрономия!$N$1:$N$1000,"Победитель",Астрономия!$J$1:$J$1000,"имеются")</f>
        <v>0</v>
      </c>
      <c r="AJ15" s="2">
        <f>COUNTIF(Астрономия!$H$1:$H$1000,7)</f>
        <v>0</v>
      </c>
      <c r="AK15" s="169">
        <f>COUNTIFS(Астрономия!$H$1:$H$1000,7,Астрономия!$G$1:$G$1000,"&lt;7")</f>
        <v>0</v>
      </c>
      <c r="AL15" s="169">
        <f>COUNTIFS(Астрономия!$H$1:$H$1000,7,Астрономия!$J$1:$J$1000,"имеются")</f>
        <v>0</v>
      </c>
      <c r="AM15" s="2">
        <f>COUNTIFS(Астрономия!$H$1:$H$1000,7,Астрономия!$N$1:$N$1000,"Призер")</f>
        <v>0</v>
      </c>
      <c r="AN15" s="2">
        <f>COUNTIFS(Астрономия!$H$1:$H$1000,7,Астрономия!$N$1:$N$1000,"Победитель")</f>
        <v>0</v>
      </c>
      <c r="AO15" s="2">
        <f>COUNTIFS(Астрономия!$H$1:$H$1000,7,Астрономия!$N$1:$N$1000,"Победитель",Астрономия!$M$1:$M$1000,"100%")</f>
        <v>0</v>
      </c>
      <c r="AP15" s="2">
        <f>COUNTIFS(Астрономия!$H$1:$H$1000,7,Астрономия!$N$1:$N$1000,"Призер",Астрономия!$J$1:$J$1000,"имеются")</f>
        <v>0</v>
      </c>
      <c r="AQ15" s="2">
        <f>COUNTIFS(Астрономия!$H$1:$H$1000,7,Астрономия!$N$1:$N$1000,"Победитель",Астрономия!$J$1:$J$1000,"имеются")</f>
        <v>0</v>
      </c>
      <c r="AR15" s="2">
        <f>COUNTIF(Астрономия!$H$1:$H$1000,8)</f>
        <v>0</v>
      </c>
      <c r="AS15" s="169">
        <f>COUNTIFS(Астрономия!$H$1:$H$1000,8,Астрономия!$G$1:$G$1000,"&lt;8")</f>
        <v>0</v>
      </c>
      <c r="AT15" s="169">
        <f>COUNTIFS(Астрономия!$H$1:$H$1000,8,Астрономия!$J$1:$J$1000,"имеются")</f>
        <v>0</v>
      </c>
      <c r="AU15" s="2">
        <f>COUNTIFS(Астрономия!$H$1:$H$1000,8,Астрономия!$N$1:$N$1000,"Призер")</f>
        <v>0</v>
      </c>
      <c r="AV15" s="2">
        <f>COUNTIFS(Астрономия!$H$1:$H$1000,8,Астрономия!$N$1:$N$1000,"Победитель")</f>
        <v>0</v>
      </c>
      <c r="AW15" s="2">
        <f>COUNTIFS(Астрономия!$H$1:$H$1000,8,Астрономия!$N$1:$N$1000,"Победитель",Астрономия!$M$1:$M$1000,"100%")</f>
        <v>0</v>
      </c>
      <c r="AX15" s="2">
        <f>COUNTIFS(Астрономия!$H$1:$H$1000,8,Астрономия!$N$1:$N$1000,"Призер",Астрономия!$J$1:$J$1000,"имеются")</f>
        <v>0</v>
      </c>
      <c r="AY15" s="2">
        <f>COUNTIFS(Астрономия!$H$1:$H$1000,8,Астрономия!$N$1:$N$1000,"Победитель",Астрономия!$J$1:$J$1000,"имеются")</f>
        <v>0</v>
      </c>
      <c r="AZ15" s="2">
        <f>COUNTIF(Астрономия!$H$1:$H$1000,9)</f>
        <v>0</v>
      </c>
      <c r="BA15" s="169">
        <f>COUNTIFS(Астрономия!$H$1:$H$1000,9,Астрономия!$G$1:$G$1000,"&lt;9")</f>
        <v>0</v>
      </c>
      <c r="BB15" s="169">
        <f>COUNTIFS(Астрономия!$H$1:$H$1000,9,Астрономия!$J$1:$J$1000,"имеются")</f>
        <v>0</v>
      </c>
      <c r="BC15" s="2">
        <f>COUNTIFS(Астрономия!$H$1:$H$1000,9,Астрономия!$N$1:$N$1000,"Призер")</f>
        <v>0</v>
      </c>
      <c r="BD15" s="2">
        <f>COUNTIFS(Астрономия!$H$1:$H$1000,9,Астрономия!$N$1:$N$1000,"Победитель")</f>
        <v>0</v>
      </c>
      <c r="BE15" s="2">
        <f>COUNTIFS(Астрономия!$H$1:$H$1000,9,Астрономия!$N$1:$N$1000,"Победитель",Астрономия!$M$1:$M$1000,"100%")</f>
        <v>0</v>
      </c>
      <c r="BF15" s="2">
        <f>COUNTIFS(Астрономия!$H$1:$H$1000,9,Астрономия!$N$1:$N$1000,"Призер",Астрономия!$J$1:$J$1000,"имеются")</f>
        <v>0</v>
      </c>
      <c r="BG15" s="2">
        <f>COUNTIFS(Астрономия!$H$1:$H$1000,9,Астрономия!$N$1:$N$1000,"Победитель",Астрономия!$J$1:$J$1000,"имеются")</f>
        <v>0</v>
      </c>
      <c r="BH15" s="2">
        <f>COUNTIF(Астрономия!$H$1:$H$1000,10)</f>
        <v>0</v>
      </c>
      <c r="BI15" s="169">
        <f>COUNTIFS(Астрономия!$H$1:$H$1000,10,Астрономия!$G$1:$G$1000,"&lt;10")</f>
        <v>0</v>
      </c>
      <c r="BJ15" s="169">
        <f>COUNTIFS(Астрономия!$H$1:$H$1000,10,Астрономия!$J$1:$J$1000,"имеются")</f>
        <v>0</v>
      </c>
      <c r="BK15" s="2">
        <f>COUNTIFS(Астрономия!$H$1:$H$1000,10,Астрономия!$N$1:$N$1000,"Призер")</f>
        <v>0</v>
      </c>
      <c r="BL15" s="2">
        <f>COUNTIFS(Астрономия!$H$1:$H$1000,10,Астрономия!$N$1:$N$1000,"Победитель")</f>
        <v>0</v>
      </c>
      <c r="BM15" s="2">
        <f>COUNTIFS(Астрономия!$H$1:$H$1000,10,Астрономия!$N$1:$N$1000,"Победитель",Астрономия!$M$1:$M$1000,"100%")</f>
        <v>0</v>
      </c>
      <c r="BN15" s="2">
        <f>COUNTIFS(Астрономия!$H$1:$H$1000,10,Астрономия!$N$1:$N$1000,"Призер",Астрономия!$J$1:$J$1000,"имеются")</f>
        <v>0</v>
      </c>
      <c r="BO15" s="2">
        <f>COUNTIFS(Астрономия!$H$1:$H$1000,10,Астрономия!$N$1:$N$1000,"Победитель",Астрономия!$J$1:$J$1000,"имеются")</f>
        <v>0</v>
      </c>
      <c r="BP15" s="2">
        <f>COUNTIF(Астрономия!$H$1:$H$1000,11)</f>
        <v>3</v>
      </c>
      <c r="BQ15" s="169">
        <f>COUNTIFS(Астрономия!$H$1:$H$1000,11,Астрономия!$G$1:$G$1000,"&lt;11")</f>
        <v>0</v>
      </c>
      <c r="BR15" s="169">
        <f>COUNTIFS(Астрономия!$H$1:$H$1000,11,Астрономия!$J$1:$J$1000,"имеются")</f>
        <v>0</v>
      </c>
      <c r="BS15" s="2">
        <f>COUNTIFS(Астрономия!$H$1:$H$1000,11,Астрономия!$N$1:$N$1000,"Призер")</f>
        <v>0</v>
      </c>
      <c r="BT15" s="2">
        <f>COUNTIFS(Астрономия!$H$1:$H$1000,11,Астрономия!$N$1:$N$1000,"Победитель")</f>
        <v>0</v>
      </c>
      <c r="BU15" s="2">
        <f>COUNTIFS(Астрономия!$H$1:$H$1000,11,Астрономия!$N$1:$N$1000,"Победитель",Астрономия!$M$1:$M$1000,"100%")</f>
        <v>0</v>
      </c>
      <c r="BV15" s="2">
        <f>COUNTIFS(Астрономия!$H$1:$H$1000,11,Астрономия!$N$1:$N$1000,"Призер",Астрономия!$J$1:$J$1000,"имеются")</f>
        <v>0</v>
      </c>
      <c r="BW15" s="2">
        <f>COUNTIFS(Астрономия!$H$1:$H$1000,11,Астрономия!$N$1:$N$1000,"Победитель",Астрономия!$J$1:$J$1000,"имеются")</f>
        <v>0</v>
      </c>
      <c r="BX15" s="100">
        <f t="shared" si="1"/>
        <v>0</v>
      </c>
    </row>
    <row r="16" spans="1:76">
      <c r="A16" s="34">
        <v>3</v>
      </c>
      <c r="B16" s="32" t="s">
        <v>12</v>
      </c>
      <c r="C16" s="15">
        <f t="shared" si="0"/>
        <v>1</v>
      </c>
      <c r="D16" s="2">
        <f t="shared" si="2"/>
        <v>38</v>
      </c>
      <c r="E16" s="2">
        <f t="shared" si="3"/>
        <v>0</v>
      </c>
      <c r="F16" s="2">
        <f t="shared" si="4"/>
        <v>0</v>
      </c>
      <c r="G16" s="2">
        <f>IF(SUM(W16,AE16,AM16,AU16,BC16,BK16,BS16)&lt;&gt;COUNTIF(Биология!$N$1:$N$1000,"Призер"),"Ошибка",SUM(W16,AE16,AM16,AU16,BC16,BK16,BS16))</f>
        <v>4</v>
      </c>
      <c r="H16" s="2">
        <f>IF(SUM(X16,AF16,AN16,AV16,BD16,BL16,BT16)&lt;&gt;COUNTIF(Биология!$N$1:$N$1000,"Победитель"),"Ошибка",SUM(X16,AF16,AN16,AV16,BD16,BL16,BT16))</f>
        <v>3</v>
      </c>
      <c r="I16" s="2">
        <f t="shared" si="5"/>
        <v>0</v>
      </c>
      <c r="J16" s="2">
        <f t="shared" si="6"/>
        <v>0</v>
      </c>
      <c r="K16" s="2">
        <f t="shared" si="7"/>
        <v>0</v>
      </c>
      <c r="L16" s="2"/>
      <c r="M16" s="2"/>
      <c r="N16" s="2"/>
      <c r="O16" s="2"/>
      <c r="P16" s="2"/>
      <c r="Q16" s="2"/>
      <c r="R16" s="2"/>
      <c r="S16" s="2"/>
      <c r="T16" s="2">
        <f>COUNTIF(Биология!$H$1:$H$1000,5)</f>
        <v>3</v>
      </c>
      <c r="U16" s="169">
        <f>COUNTIFS(Биология!$H$1:$H$1000,5,Биология!$G$1:$G$1000,"&lt;5")</f>
        <v>0</v>
      </c>
      <c r="V16" s="169">
        <f>COUNTIFS(Биология!$H$1:$H$1000,5,Биология!$J$1:$J$1000,"имеются")</f>
        <v>0</v>
      </c>
      <c r="W16" s="2">
        <f>COUNTIFS(Биология!$H$1:$H$1000,5,Биология!$N$1:$N$1000,"Призер")</f>
        <v>1</v>
      </c>
      <c r="X16" s="2">
        <f>COUNTIFS(Биология!$H$1:$H$1000,5,Биология!$N$1:$N$1000,"Победитель")</f>
        <v>1</v>
      </c>
      <c r="Y16" s="2">
        <f>COUNTIFS(Биология!$H$1:$H$1000,5,Биология!$N$1:$N$1000,"Победитель",Биология!$M$1:$M$1000,"100%")</f>
        <v>0</v>
      </c>
      <c r="Z16" s="2">
        <f>COUNTIFS(Биология!$H$1:$H$1000,5,Биология!$N$1:$N$1000,"Призер",Биология!$J$1:$J$1000,"имеются")</f>
        <v>0</v>
      </c>
      <c r="AA16" s="2">
        <f>COUNTIFS(Биология!$H$1:$H$1000,5,Биология!$N$1:$N$1000,"Победитель",Биология!$J$1:$J$1000,"имеются")</f>
        <v>0</v>
      </c>
      <c r="AB16" s="2">
        <f>COUNTIF(Биология!$H$1:$H$1000,6)</f>
        <v>6</v>
      </c>
      <c r="AC16" s="169">
        <f>COUNTIFS(Биология!$H$1:$H$1000,6,Биология!$G$1:$G$1000,"&lt;6")</f>
        <v>0</v>
      </c>
      <c r="AD16" s="169">
        <f>COUNTIFS(Биология!$H$1:$H$1000,6,Биология!$J$1:$J$1000,"имеются")</f>
        <v>0</v>
      </c>
      <c r="AE16" s="2">
        <f>COUNTIFS(Биология!$H$1:$H$1000,6,Биология!$N$1:$N$1000,"Призер")</f>
        <v>1</v>
      </c>
      <c r="AF16" s="2">
        <f>COUNTIFS(Биология!$H$1:$H$1000,6,Биология!$N$1:$N$1000,"Победитель")</f>
        <v>0</v>
      </c>
      <c r="AG16" s="2">
        <f>COUNTIFS(Биология!$H$1:$H$1000,6,Биология!$N$1:$N$1000,"Победитель",Биология!$M$1:$M$1000,"100%")</f>
        <v>0</v>
      </c>
      <c r="AH16" s="2">
        <f>COUNTIFS(Биология!$H$1:$H$1000,6,Биология!$N$1:$N$1000,"Призер",Биология!$J$1:$J$1000,"имеются")</f>
        <v>0</v>
      </c>
      <c r="AI16" s="2">
        <f>COUNTIFS(Биология!$H$1:$H$1000,6,Биология!$N$1:$N$1000,"Победитель",Биология!$J$1:$J$1000,"имеются")</f>
        <v>0</v>
      </c>
      <c r="AJ16" s="2">
        <f>COUNTIF(Биология!$H$1:$H$1000,7)</f>
        <v>5</v>
      </c>
      <c r="AK16" s="169">
        <f>COUNTIFS(Биология!$H$1:$H$1000,7,Биология!$G$1:$G$1000,"&lt;7")</f>
        <v>0</v>
      </c>
      <c r="AL16" s="169">
        <f>COUNTIFS(Биология!$H$1:$H$1000,7,Биология!$J$1:$J$1000,"имеются")</f>
        <v>0</v>
      </c>
      <c r="AM16" s="2">
        <f>COUNTIFS(Биология!$H$1:$H$1000,7,Биология!$N$1:$N$1000,"Призер")</f>
        <v>0</v>
      </c>
      <c r="AN16" s="2">
        <f>COUNTIFS(Биология!$H$1:$H$1000,7,Биология!$N$1:$N$1000,"Победитель")</f>
        <v>0</v>
      </c>
      <c r="AO16" s="2">
        <f>COUNTIFS(Биология!$H$1:$H$1000,7,Биология!$N$1:$N$1000,"Победитель",Биология!$M$1:$M$1000,"100%")</f>
        <v>0</v>
      </c>
      <c r="AP16" s="2">
        <f>COUNTIFS(Биология!$H$1:$H$1000,7,Биология!$N$1:$N$1000,"Призер",Биология!$J$1:$J$1000,"имеются")</f>
        <v>0</v>
      </c>
      <c r="AQ16" s="2">
        <f>COUNTIFS(Биология!$H$1:$H$1000,7,Биология!$N$1:$N$1000,"Победитель",Биология!$J$1:$J$1000,"имеются")</f>
        <v>0</v>
      </c>
      <c r="AR16" s="2">
        <f>COUNTIF(Биология!$H$1:$H$1000,8)</f>
        <v>4</v>
      </c>
      <c r="AS16" s="169">
        <f>COUNTIFS(Биология!$H$1:$H$1000,8,Биология!$G$1:$G$1000,"&lt;8")</f>
        <v>0</v>
      </c>
      <c r="AT16" s="169">
        <f>COUNTIFS(Биология!$H$1:$H$1000,8,Биология!$J$1:$J$1000,"имеются")</f>
        <v>0</v>
      </c>
      <c r="AU16" s="2">
        <f>COUNTIFS(Биология!$H$1:$H$1000,8,Биология!$N$1:$N$1000,"Призер")</f>
        <v>1</v>
      </c>
      <c r="AV16" s="2">
        <f>COUNTIFS(Биология!$H$1:$H$1000,8,Биология!$N$1:$N$1000,"Победитель")</f>
        <v>1</v>
      </c>
      <c r="AW16" s="2">
        <f>COUNTIFS(Биология!$H$1:$H$1000,8,Биология!$N$1:$N$1000,"Победитель",Биология!$M$1:$M$1000,"100%")</f>
        <v>0</v>
      </c>
      <c r="AX16" s="2">
        <f>COUNTIFS(Биология!$H$1:$H$1000,8,Биология!$N$1:$N$1000,"Призер",Биология!$J$1:$J$1000,"имеются")</f>
        <v>0</v>
      </c>
      <c r="AY16" s="2">
        <f>COUNTIFS(Биология!$H$1:$H$1000,8,Биология!$N$1:$N$1000,"Победитель",Биология!$J$1:$J$1000,"имеются")</f>
        <v>0</v>
      </c>
      <c r="AZ16" s="2">
        <f>COUNTIF(Биология!$H$1:$H$1000,9)</f>
        <v>15</v>
      </c>
      <c r="BA16" s="169">
        <f>COUNTIFS(Биология!$H$1:$H$1000,9,Биология!$G$1:$G$1000,"&lt;9")</f>
        <v>0</v>
      </c>
      <c r="BB16" s="169">
        <f>COUNTIFS(Биология!$H$1:$H$1000,9,Биология!$J$1:$J$1000,"имеются")</f>
        <v>0</v>
      </c>
      <c r="BC16" s="2">
        <f>COUNTIFS(Биология!$H$1:$H$1000,9,Биология!$N$1:$N$1000,"Призер")</f>
        <v>1</v>
      </c>
      <c r="BD16" s="2">
        <f>COUNTIFS(Биология!$H$1:$H$1000,9,Биология!$N$1:$N$1000,"Победитель")</f>
        <v>1</v>
      </c>
      <c r="BE16" s="2">
        <f>COUNTIFS(Биология!$H$1:$H$1000,9,Биология!$N$1:$N$1000,"Победитель",Биология!$M$1:$M$1000,"100%")</f>
        <v>0</v>
      </c>
      <c r="BF16" s="2">
        <f>COUNTIFS(Биология!$H$1:$H$1000,9,Биология!$N$1:$N$1000,"Призер",Биология!$J$1:$J$1000,"имеются")</f>
        <v>0</v>
      </c>
      <c r="BG16" s="2">
        <f>COUNTIFS(Биология!$H$1:$H$1000,9,Биология!$N$1:$N$1000,"Победитель",Биология!$J$1:$J$1000,"имеются")</f>
        <v>0</v>
      </c>
      <c r="BH16" s="2">
        <f>COUNTIF(Биология!$H$1:$H$1000,10)</f>
        <v>5</v>
      </c>
      <c r="BI16" s="169">
        <f>COUNTIFS(Биология!$H$1:$H$1000,10,Биология!$G$1:$G$1000,"&lt;10")</f>
        <v>0</v>
      </c>
      <c r="BJ16" s="169">
        <f>COUNTIFS(Биология!$H$1:$H$1000,10,Биология!$J$1:$J$1000,"имеются")</f>
        <v>0</v>
      </c>
      <c r="BK16" s="2">
        <f>COUNTIFS(Биология!$H$1:$H$1000,10,Биология!$N$1:$N$1000,"Призер")</f>
        <v>0</v>
      </c>
      <c r="BL16" s="2">
        <f>COUNTIFS(Биология!$H$1:$H$1000,10,Биология!$N$1:$N$1000,"Победитель")</f>
        <v>0</v>
      </c>
      <c r="BM16" s="2">
        <f>COUNTIFS(Биология!$H$1:$H$1000,10,Биология!$N$1:$N$1000,"Победитель",Биология!$M$1:$M$1000,"100%")</f>
        <v>0</v>
      </c>
      <c r="BN16" s="2">
        <f>COUNTIFS(Биология!$H$1:$H$1000,10,Биология!$N$1:$N$1000,"Призер",Биология!$J$1:$J$1000,"имеются")</f>
        <v>0</v>
      </c>
      <c r="BO16" s="2">
        <f>COUNTIFS(Биология!$H$1:$H$1000,10,Биология!$N$1:$N$1000,"Победитель",Биология!$J$1:$J$1000,"имеются")</f>
        <v>0</v>
      </c>
      <c r="BP16" s="2">
        <f>COUNTIF(Биология!$H$1:$H$1000,11)</f>
        <v>0</v>
      </c>
      <c r="BQ16" s="169">
        <f>COUNTIFS(Биология!$H$1:$H$1000,11,Биология!$G$1:$G$1000,"&lt;11")</f>
        <v>0</v>
      </c>
      <c r="BR16" s="169">
        <f>COUNTIFS(Биология!$H$1:$H$1000,11,Биология!$J$1:$J$1000,"имеются")</f>
        <v>0</v>
      </c>
      <c r="BS16" s="2">
        <f>COUNTIFS(Биология!$H$1:$H$1000,11,Биология!$N$1:$N$1000,"Призер")</f>
        <v>0</v>
      </c>
      <c r="BT16" s="2">
        <f>COUNTIFS(Биология!$H$1:$H$1000,11,Биология!$N$1:$N$1000,"Победитель")</f>
        <v>0</v>
      </c>
      <c r="BU16" s="2">
        <f>COUNTIFS(Биология!$H$1:$H$1000,11,Биология!$N$1:$N$1000,"Победитель",Биология!$M$1:$M$1000,"100%")</f>
        <v>0</v>
      </c>
      <c r="BV16" s="2">
        <f>COUNTIFS(Биология!$H$1:$H$1000,11,Биология!$N$1:$N$1000,"Призер",Биология!$J$1:$J$1000,"имеются")</f>
        <v>0</v>
      </c>
      <c r="BW16" s="2">
        <f>COUNTIFS(Биология!$H$1:$H$1000,11,Биология!$N$1:$N$1000,"Победитель",Биология!$J$1:$J$1000,"имеются")</f>
        <v>0</v>
      </c>
      <c r="BX16" s="100">
        <f t="shared" si="1"/>
        <v>0.18421052631578946</v>
      </c>
    </row>
    <row r="17" spans="1:76">
      <c r="A17" s="34">
        <v>4</v>
      </c>
      <c r="B17" s="32" t="s">
        <v>24</v>
      </c>
      <c r="C17" s="15">
        <f t="shared" si="0"/>
        <v>1</v>
      </c>
      <c r="D17" s="2">
        <f t="shared" si="2"/>
        <v>49</v>
      </c>
      <c r="E17" s="2">
        <f t="shared" si="3"/>
        <v>0</v>
      </c>
      <c r="F17" s="2">
        <f t="shared" si="4"/>
        <v>0</v>
      </c>
      <c r="G17" s="2">
        <f>IF(SUM(W17,AE17,AM17,AU17,BC17,BK17,BS17)&lt;&gt;COUNTIF(География!$N$1:$N$1000,"Призер"),"Ошибка",SUM(W17,AE17,AM17,AU17,BC17,BK17,BS17))</f>
        <v>4</v>
      </c>
      <c r="H17" s="2">
        <f>IF(SUM(X17,AF17,AN17,AV17,BD17,BL17,BT17)&lt;&gt;COUNTIF(География!$N$1:$N$1000,"Победитель"),"Ошибка",SUM(X17,AF17,AN17,AV17,BD17,BL17,BT17))</f>
        <v>3</v>
      </c>
      <c r="I17" s="2">
        <f t="shared" si="5"/>
        <v>0</v>
      </c>
      <c r="J17" s="2">
        <f t="shared" si="6"/>
        <v>0</v>
      </c>
      <c r="K17" s="2">
        <f t="shared" si="7"/>
        <v>0</v>
      </c>
      <c r="L17" s="2"/>
      <c r="M17" s="2"/>
      <c r="N17" s="2"/>
      <c r="O17" s="2"/>
      <c r="P17" s="2"/>
      <c r="Q17" s="2"/>
      <c r="R17" s="2"/>
      <c r="S17" s="2"/>
      <c r="T17" s="2">
        <f>COUNTIF(География!$H$1:$H$1000,5)</f>
        <v>2</v>
      </c>
      <c r="U17" s="169">
        <f>COUNTIFS(География!$H$1:$H$1000,5,География!$G$1:$G$1000,"&lt;5")</f>
        <v>0</v>
      </c>
      <c r="V17" s="169">
        <f>COUNTIFS(География!$H$1:$H$1000,5,География!$J$1:$J$1000,"имеются")</f>
        <v>0</v>
      </c>
      <c r="W17" s="2">
        <f>COUNTIFS(География!$H$1:$H$1000,5,География!$N$1:$N$1000,"Призер")</f>
        <v>0</v>
      </c>
      <c r="X17" s="2">
        <f>COUNTIFS(География!$H$1:$H$1000,5,География!$N$1:$N$1000,"Победитель")</f>
        <v>0</v>
      </c>
      <c r="Y17" s="2">
        <f>COUNTIFS(География!$H$1:$H$1000,5,География!$N$1:$N$1000,"Победитель",География!$M$1:$M$1000,"100%")</f>
        <v>0</v>
      </c>
      <c r="Z17" s="2">
        <f>COUNTIFS(География!$H$1:$H$1000,5,География!$N$1:$N$1000,"Призер",География!$J$1:$J$1000,"имеются")</f>
        <v>0</v>
      </c>
      <c r="AA17" s="2">
        <f>COUNTIFS(География!$H$1:$H$1000,5,География!$N$1:$N$1000,"Победитель",География!$J$1:$J$1000,"имеются")</f>
        <v>0</v>
      </c>
      <c r="AB17" s="2">
        <f>COUNTIF(География!$H$1:$H$1000,6)</f>
        <v>1</v>
      </c>
      <c r="AC17" s="169">
        <f>COUNTIFS(География!$H$1:$H$1000,6,География!$G$1:$G$1000,"&lt;6")</f>
        <v>0</v>
      </c>
      <c r="AD17" s="169">
        <f>COUNTIFS(География!$H$1:$H$1000,6,География!$J$1:$J$1000,"имеются")</f>
        <v>0</v>
      </c>
      <c r="AE17" s="2">
        <f>COUNTIFS(География!$H$1:$H$1000,6,География!$N$1:$N$1000,"Призер")</f>
        <v>0</v>
      </c>
      <c r="AF17" s="2">
        <f>COUNTIFS(География!$H$1:$H$1000,6,География!$N$1:$N$1000,"Победитель")</f>
        <v>0</v>
      </c>
      <c r="AG17" s="2">
        <f>COUNTIFS(География!$H$1:$H$1000,6,География!$N$1:$N$1000,"Победитель",География!$M$1:$M$1000,"100%")</f>
        <v>0</v>
      </c>
      <c r="AH17" s="2">
        <f>COUNTIFS(География!$H$1:$H$1000,6,География!$N$1:$N$1000,"Призер",География!$J$1:$J$1000,"имеются")</f>
        <v>0</v>
      </c>
      <c r="AI17" s="2">
        <f>COUNTIFS(География!$H$1:$H$1000,6,География!$N$1:$N$1000,"Победитель",География!$J$1:$J$1000,"имеются")</f>
        <v>0</v>
      </c>
      <c r="AJ17" s="2">
        <f>COUNTIF(География!$H$1:$H$1000,7)</f>
        <v>10</v>
      </c>
      <c r="AK17" s="169">
        <f>COUNTIFS(География!$H$1:$H$1000,7,География!$G$1:$G$1000,"&lt;7")</f>
        <v>0</v>
      </c>
      <c r="AL17" s="169">
        <f>COUNTIFS(География!$H$1:$H$1000,7,География!$J$1:$J$1000,"имеются")</f>
        <v>0</v>
      </c>
      <c r="AM17" s="2">
        <f>COUNTIFS(География!$H$1:$H$1000,7,География!$N$1:$N$1000,"Призер")</f>
        <v>1</v>
      </c>
      <c r="AN17" s="2">
        <f>COUNTIFS(География!$H$1:$H$1000,7,География!$N$1:$N$1000,"Победитель")</f>
        <v>1</v>
      </c>
      <c r="AO17" s="2">
        <f>COUNTIFS(География!$H$1:$H$1000,7,География!$N$1:$N$1000,"Победитель",География!$M$1:$M$1000,"100%")</f>
        <v>0</v>
      </c>
      <c r="AP17" s="2">
        <f>COUNTIFS(География!$H$1:$H$1000,7,География!$N$1:$N$1000,"Призер",География!$J$1:$J$1000,"имеются")</f>
        <v>0</v>
      </c>
      <c r="AQ17" s="2">
        <f>COUNTIFS(География!$H$1:$H$1000,7,География!$N$1:$N$1000,"Победитель",География!$J$1:$J$1000,"имеются")</f>
        <v>0</v>
      </c>
      <c r="AR17" s="2">
        <f>COUNTIF(География!$H$1:$H$1000,8)</f>
        <v>6</v>
      </c>
      <c r="AS17" s="169">
        <f>COUNTIFS(География!$H$1:$H$1000,8,География!$G$1:$G$1000,"&lt;8")</f>
        <v>0</v>
      </c>
      <c r="AT17" s="169">
        <f>COUNTIFS(География!$H$1:$H$1000,8,География!$J$1:$J$1000,"имеются")</f>
        <v>0</v>
      </c>
      <c r="AU17" s="2">
        <f>COUNTIFS(География!$H$1:$H$1000,8,География!$N$1:$N$1000,"Призер")</f>
        <v>0</v>
      </c>
      <c r="AV17" s="2">
        <f>COUNTIFS(География!$H$1:$H$1000,8,География!$N$1:$N$1000,"Победитель")</f>
        <v>0</v>
      </c>
      <c r="AW17" s="2">
        <f>COUNTIFS(География!$H$1:$H$1000,8,География!$N$1:$N$1000,"Победитель",География!$M$1:$M$1000,"100%")</f>
        <v>0</v>
      </c>
      <c r="AX17" s="2">
        <f>COUNTIFS(География!$H$1:$H$1000,8,География!$N$1:$N$1000,"Призер",География!$J$1:$J$1000,"имеются")</f>
        <v>0</v>
      </c>
      <c r="AY17" s="2">
        <f>COUNTIFS(География!$H$1:$H$1000,8,География!$N$1:$N$1000,"Победитель",География!$J$1:$J$1000,"имеются")</f>
        <v>0</v>
      </c>
      <c r="AZ17" s="2">
        <f>COUNTIF(География!$H$1:$H$1000,9)</f>
        <v>13</v>
      </c>
      <c r="BA17" s="169">
        <f>COUNTIFS(География!$H$1:$H$1000,9,География!$G$1:$G$1000,"&lt;9")</f>
        <v>0</v>
      </c>
      <c r="BB17" s="169">
        <f>COUNTIFS(География!$H$1:$H$1000,9,География!$J$1:$J$1000,"имеются")</f>
        <v>0</v>
      </c>
      <c r="BC17" s="2">
        <f>COUNTIFS(География!$H$1:$H$1000,9,География!$N$1:$N$1000,"Призер")</f>
        <v>1</v>
      </c>
      <c r="BD17" s="2">
        <f>COUNTIFS(География!$H$1:$H$1000,9,География!$N$1:$N$1000,"Победитель")</f>
        <v>0</v>
      </c>
      <c r="BE17" s="2">
        <f>COUNTIFS(География!$H$1:$H$1000,9,География!$N$1:$N$1000,"Победитель",География!$M$1:$M$1000,"100%")</f>
        <v>0</v>
      </c>
      <c r="BF17" s="2">
        <f>COUNTIFS(География!$H$1:$H$1000,9,География!$N$1:$N$1000,"Призер",География!$J$1:$J$1000,"имеются")</f>
        <v>0</v>
      </c>
      <c r="BG17" s="2">
        <f>COUNTIFS(География!$H$1:$H$1000,9,География!$N$1:$N$1000,"Победитель",География!$J$1:$J$1000,"имеются")</f>
        <v>0</v>
      </c>
      <c r="BH17" s="2">
        <f>COUNTIF(География!$H$1:$H$1000,10)</f>
        <v>10</v>
      </c>
      <c r="BI17" s="169">
        <f>COUNTIFS(География!$H$1:$H$1000,10,География!$G$1:$G$1000,"&lt;10")</f>
        <v>0</v>
      </c>
      <c r="BJ17" s="169">
        <f>COUNTIFS(География!$H$1:$H$1000,10,География!$J$1:$J$1000,"имеются")</f>
        <v>0</v>
      </c>
      <c r="BK17" s="2">
        <f>COUNTIFS(География!$H$1:$H$1000,10,География!$N$1:$N$1000,"Призер")</f>
        <v>1</v>
      </c>
      <c r="BL17" s="2">
        <f>COUNTIFS(География!$H$1:$H$1000,10,География!$N$1:$N$1000,"Победитель")</f>
        <v>1</v>
      </c>
      <c r="BM17" s="2">
        <f>COUNTIFS(География!$H$1:$H$1000,10,География!$N$1:$N$1000,"Победитель",География!$M$1:$M$1000,"100%")</f>
        <v>0</v>
      </c>
      <c r="BN17" s="2">
        <f>COUNTIFS(География!$H$1:$H$1000,10,География!$N$1:$N$1000,"Призер",География!$J$1:$J$1000,"имеются")</f>
        <v>0</v>
      </c>
      <c r="BO17" s="2">
        <f>COUNTIFS(География!$H$1:$H$1000,10,География!$N$1:$N$1000,"Победитель",География!$J$1:$J$1000,"имеются")</f>
        <v>0</v>
      </c>
      <c r="BP17" s="2">
        <f>COUNTIF(География!$H$1:$H$1000,11)</f>
        <v>7</v>
      </c>
      <c r="BQ17" s="169">
        <f>COUNTIFS(География!$H$1:$H$1000,11,География!$G$1:$G$1000,"&lt;11")</f>
        <v>0</v>
      </c>
      <c r="BR17" s="169">
        <f>COUNTIFS(География!$H$1:$H$1000,11,География!$J$1:$J$1000,"имеются")</f>
        <v>0</v>
      </c>
      <c r="BS17" s="2">
        <f>COUNTIFS(География!$H$1:$H$1000,11,География!$N$1:$N$1000,"Призер")</f>
        <v>1</v>
      </c>
      <c r="BT17" s="2">
        <f>COUNTIFS(География!$H$1:$H$1000,11,География!$N$1:$N$1000,"Победитель")</f>
        <v>1</v>
      </c>
      <c r="BU17" s="2">
        <f>COUNTIFS(География!$H$1:$H$1000,11,География!$N$1:$N$1000,"Победитель",География!$M$1:$M$1000,"100%")</f>
        <v>0</v>
      </c>
      <c r="BV17" s="2">
        <f>COUNTIFS(География!$H$1:$H$1000,11,География!$N$1:$N$1000,"Призер",География!$J$1:$J$1000,"имеются")</f>
        <v>0</v>
      </c>
      <c r="BW17" s="2">
        <f>COUNTIFS(География!$H$1:$H$1000,11,География!$N$1:$N$1000,"Победитель",География!$J$1:$J$1000,"имеются")</f>
        <v>0</v>
      </c>
      <c r="BX17" s="100">
        <f t="shared" si="1"/>
        <v>0.14285714285714285</v>
      </c>
    </row>
    <row r="18" spans="1:76">
      <c r="A18" s="34">
        <v>5</v>
      </c>
      <c r="B18" s="32" t="s">
        <v>44</v>
      </c>
      <c r="C18" s="15">
        <f t="shared" si="0"/>
        <v>1</v>
      </c>
      <c r="D18" s="2">
        <f t="shared" si="2"/>
        <v>5</v>
      </c>
      <c r="E18" s="2">
        <f t="shared" si="3"/>
        <v>0</v>
      </c>
      <c r="F18" s="2">
        <f t="shared" si="4"/>
        <v>0</v>
      </c>
      <c r="G18" s="2">
        <f>IF(SUM(W18,AE18,AM18,AU18,BC18,BK18,BS18)&lt;&gt;COUNTIF(Информатика!$N$1:$N$1000,"Призер"),"Ошибка",SUM(W18,AE18,AM18,AU18,BC18,BK18,BS18))</f>
        <v>0</v>
      </c>
      <c r="H18" s="2">
        <f>IF(SUM(X18,AF18,AN18,AV18,BD18,BL18,BT18)&lt;&gt;COUNTIF(Информатика!$N$1:$N$1000,"Победитель"),"Ошибка",SUM(X18,AF18,AN18,AV18,BD18,BL18,BT18))</f>
        <v>0</v>
      </c>
      <c r="I18" s="2">
        <f t="shared" si="5"/>
        <v>0</v>
      </c>
      <c r="J18" s="2">
        <f t="shared" si="6"/>
        <v>0</v>
      </c>
      <c r="K18" s="2">
        <f t="shared" si="7"/>
        <v>0</v>
      </c>
      <c r="L18" s="2"/>
      <c r="M18" s="2"/>
      <c r="N18" s="2"/>
      <c r="O18" s="2"/>
      <c r="P18" s="2"/>
      <c r="Q18" s="2"/>
      <c r="R18" s="2"/>
      <c r="S18" s="2"/>
      <c r="T18" s="2">
        <f>COUNTIF(Информатика!$H$1:$H$1000,5)</f>
        <v>0</v>
      </c>
      <c r="U18" s="169">
        <f>COUNTIFS(Информатика!$H$1:$H$1000,5,Информатика!$G$1:$G$1000,"&lt;5")</f>
        <v>0</v>
      </c>
      <c r="V18" s="169">
        <f>COUNTIFS(Информатика!$H$1:$H$1000,5,Информатика!$J$1:$J$1000,"имеются")</f>
        <v>0</v>
      </c>
      <c r="W18" s="2">
        <f>COUNTIFS(Информатика!$H$1:$H$1000,5,Информатика!$N$1:$N$1000,"Призер")</f>
        <v>0</v>
      </c>
      <c r="X18" s="2">
        <f>COUNTIFS(Информатика!$H$1:$H$1000,5,Информатика!$N$1:$N$1000,"Победитель")</f>
        <v>0</v>
      </c>
      <c r="Y18" s="2">
        <f>COUNTIFS(Информатика!$H$1:$H$1000,5,Информатика!$N$1:$N$1000,"Победитель",Информатика!$M$1:$M$1000,"100%")</f>
        <v>0</v>
      </c>
      <c r="Z18" s="2">
        <f>COUNTIFS(Информатика!$H$1:$H$1000,5,Информатика!$N$1:$N$1000,"Призер",Информатика!$J$1:$J$1000,"имеются")</f>
        <v>0</v>
      </c>
      <c r="AA18" s="2">
        <f>COUNTIFS(Информатика!$H$1:$H$1000,5,Информатика!$N$1:$N$1000,"Победитель",Информатика!$J$1:$J$1000,"имеются")</f>
        <v>0</v>
      </c>
      <c r="AB18" s="2">
        <f>COUNTIF(Информатика!$H$1:$H$1000,6)</f>
        <v>0</v>
      </c>
      <c r="AC18" s="169">
        <f>COUNTIFS(Информатика!$H$1:$H$1000,6,Информатика!$G$1:$G$1000,"&lt;6")</f>
        <v>0</v>
      </c>
      <c r="AD18" s="169">
        <f>COUNTIFS(Информатика!$H$1:$H$1000,6,Информатика!$J$1:$J$1000,"имеются")</f>
        <v>0</v>
      </c>
      <c r="AE18" s="2">
        <f>COUNTIFS(Информатика!$H$1:$H$1000,6,Информатика!$N$1:$N$1000,"Призер")</f>
        <v>0</v>
      </c>
      <c r="AF18" s="2">
        <f>COUNTIFS(Информатика!$H$1:$H$1000,6,Информатика!$N$1:$N$1000,"Победитель")</f>
        <v>0</v>
      </c>
      <c r="AG18" s="2">
        <f>COUNTIFS(Информатика!$H$1:$H$1000,6,Информатика!$N$1:$N$1000,"Победитель",Информатика!$M$1:$M$1000,"100%")</f>
        <v>0</v>
      </c>
      <c r="AH18" s="2">
        <f>COUNTIFS(Информатика!$H$1:$H$1000,6,Информатика!$N$1:$N$1000,"Призер",Информатика!$J$1:$J$1000,"имеются")</f>
        <v>0</v>
      </c>
      <c r="AI18" s="2">
        <f>COUNTIFS(Информатика!$H$1:$H$1000,6,Информатика!$N$1:$N$1000,"Победитель",Информатика!$J$1:$J$1000,"имеются")</f>
        <v>0</v>
      </c>
      <c r="AJ18" s="2">
        <f>COUNTIF(Информатика!$H$1:$H$1000,7)</f>
        <v>3</v>
      </c>
      <c r="AK18" s="169">
        <f>COUNTIFS(Информатика!$H$1:$H$1000,7,Информатика!$G$1:$G$1000,"&lt;7")</f>
        <v>0</v>
      </c>
      <c r="AL18" s="169">
        <f>COUNTIFS(Информатика!$H$1:$H$1000,7,Информатика!$J$1:$J$1000,"имеются")</f>
        <v>0</v>
      </c>
      <c r="AM18" s="2">
        <f>COUNTIFS(Информатика!$H$1:$H$1000,7,Информатика!$N$1:$N$1000,"Призер")</f>
        <v>0</v>
      </c>
      <c r="AN18" s="2">
        <f>COUNTIFS(Информатика!$H$1:$H$1000,7,Информатика!$N$1:$N$1000,"Победитель")</f>
        <v>0</v>
      </c>
      <c r="AO18" s="2">
        <f>COUNTIFS(Информатика!$H$1:$H$1000,7,Информатика!$N$1:$N$1000,"Победитель",Информатика!$M$1:$M$1000,"100%")</f>
        <v>0</v>
      </c>
      <c r="AP18" s="2">
        <f>COUNTIFS(Информатика!$H$1:$H$1000,7,Информатика!$N$1:$N$1000,"Призер",Информатика!$J$1:$J$1000,"имеются")</f>
        <v>0</v>
      </c>
      <c r="AQ18" s="2">
        <f>COUNTIFS(Информатика!$H$1:$H$1000,7,Информатика!$N$1:$N$1000,"Победитель",Информатика!$J$1:$J$1000,"имеются")</f>
        <v>0</v>
      </c>
      <c r="AR18" s="2">
        <f>COUNTIF(Информатика!$H$1:$H$1000,8)</f>
        <v>2</v>
      </c>
      <c r="AS18" s="169">
        <f>COUNTIFS(Информатика!$H$1:$H$1000,8,Информатика!$G$1:$G$1000,"&lt;8")</f>
        <v>0</v>
      </c>
      <c r="AT18" s="169">
        <f>COUNTIFS(Информатика!$H$1:$H$1000,8,Информатика!$J$1:$J$1000,"имеются")</f>
        <v>0</v>
      </c>
      <c r="AU18" s="2">
        <f>COUNTIFS(Информатика!$H$1:$H$1000,8,Информатика!$N$1:$N$1000,"Призер")</f>
        <v>0</v>
      </c>
      <c r="AV18" s="2">
        <f>COUNTIFS(Информатика!$H$1:$H$1000,8,Информатика!$N$1:$N$1000,"Победитель")</f>
        <v>0</v>
      </c>
      <c r="AW18" s="2">
        <f>COUNTIFS(Информатика!$H$1:$H$1000,8,Информатика!$N$1:$N$1000,"Победитель",Информатика!$M$1:$M$1000,"100%")</f>
        <v>0</v>
      </c>
      <c r="AX18" s="2">
        <f>COUNTIFS(Информатика!$H$1:$H$1000,8,Информатика!$N$1:$N$1000,"Призер",Информатика!$J$1:$J$1000,"имеются")</f>
        <v>0</v>
      </c>
      <c r="AY18" s="2">
        <f>COUNTIFS(Информатика!$H$1:$H$1000,8,Информатика!$N$1:$N$1000,"Победитель",Информатика!$J$1:$J$1000,"имеются")</f>
        <v>0</v>
      </c>
      <c r="AZ18" s="2">
        <f>COUNTIF(Информатика!$H$1:$H$1000,9)</f>
        <v>0</v>
      </c>
      <c r="BA18" s="169">
        <f>COUNTIFS(Информатика!$H$1:$H$1000,9,Информатика!$G$1:$G$1000,"&lt;9")</f>
        <v>0</v>
      </c>
      <c r="BB18" s="169">
        <f>COUNTIFS(Информатика!$H$1:$H$1000,9,Информатика!$J$1:$J$1000,"имеются")</f>
        <v>0</v>
      </c>
      <c r="BC18" s="2">
        <f>COUNTIFS(Информатика!$H$1:$H$1000,9,Информатика!$N$1:$N$1000,"Призер")</f>
        <v>0</v>
      </c>
      <c r="BD18" s="2">
        <f>COUNTIFS(Информатика!$H$1:$H$1000,9,Информатика!$N$1:$N$1000,"Победитель")</f>
        <v>0</v>
      </c>
      <c r="BE18" s="2">
        <f>COUNTIFS(Информатика!$H$1:$H$1000,9,Информатика!$N$1:$N$1000,"Победитель",Информатика!$M$1:$M$1000,"100%")</f>
        <v>0</v>
      </c>
      <c r="BF18" s="2">
        <f>COUNTIFS(Информатика!$H$1:$H$1000,9,Информатика!$N$1:$N$1000,"Призер",Информатика!$J$1:$J$1000,"имеются")</f>
        <v>0</v>
      </c>
      <c r="BG18" s="2">
        <f>COUNTIFS(Информатика!$H$1:$H$1000,9,Информатика!$N$1:$N$1000,"Победитель",Информатика!$J$1:$J$1000,"имеются")</f>
        <v>0</v>
      </c>
      <c r="BH18" s="2">
        <f>COUNTIF(Информатика!$H$1:$H$1000,10)</f>
        <v>0</v>
      </c>
      <c r="BI18" s="169">
        <f>COUNTIFS(Информатика!$H$1:$H$1000,10,Информатика!$G$1:$G$1000,"&lt;10")</f>
        <v>0</v>
      </c>
      <c r="BJ18" s="169">
        <f>COUNTIFS(Информатика!$H$1:$H$1000,10,Информатика!$J$1:$J$1000,"имеются")</f>
        <v>0</v>
      </c>
      <c r="BK18" s="2">
        <f>COUNTIFS(Информатика!$H$1:$H$1000,10,Информатика!$N$1:$N$1000,"Призер")</f>
        <v>0</v>
      </c>
      <c r="BL18" s="2">
        <f>COUNTIFS(Информатика!$H$1:$H$1000,10,Информатика!$N$1:$N$1000,"Победитель")</f>
        <v>0</v>
      </c>
      <c r="BM18" s="2">
        <f>COUNTIFS(Информатика!$H$1:$H$1000,10,Информатика!$N$1:$N$1000,"Победитель",Информатика!$M$1:$M$1000,"100%")</f>
        <v>0</v>
      </c>
      <c r="BN18" s="2">
        <f>COUNTIFS(Информатика!$H$1:$H$1000,10,Информатика!$N$1:$N$1000,"Призер",Информатика!$J$1:$J$1000,"имеются")</f>
        <v>0</v>
      </c>
      <c r="BO18" s="2">
        <f>COUNTIFS(Информатика!$H$1:$H$1000,10,Информатика!$N$1:$N$1000,"Победитель",Информатика!$J$1:$J$1000,"имеются")</f>
        <v>0</v>
      </c>
      <c r="BP18" s="2">
        <f>COUNTIF(Информатика!$H$1:$H$1000,11)</f>
        <v>0</v>
      </c>
      <c r="BQ18" s="169">
        <f>COUNTIFS(Информатика!$H$1:$H$1000,11,Информатика!$G$1:$G$1000,"&lt;11")</f>
        <v>0</v>
      </c>
      <c r="BR18" s="169">
        <f>COUNTIFS(Информатика!$H$1:$H$1000,11,Информатика!$J$1:$J$1000,"имеются")</f>
        <v>0</v>
      </c>
      <c r="BS18" s="2">
        <f>COUNTIFS(Информатика!$H$1:$H$1000,11,Информатика!$N$1:$N$1000,"Призер")</f>
        <v>0</v>
      </c>
      <c r="BT18" s="2">
        <f>COUNTIFS(Информатика!$H$1:$H$1000,11,Информатика!$N$1:$N$1000,"Победитель")</f>
        <v>0</v>
      </c>
      <c r="BU18" s="2">
        <f>COUNTIFS(Информатика!$H$1:$H$1000,11,Информатика!$N$1:$N$1000,"Победитель",Информатика!$M$1:$M$1000,"100%")</f>
        <v>0</v>
      </c>
      <c r="BV18" s="2">
        <f>COUNTIFS(Информатика!$H$1:$H$1000,11,Информатика!$N$1:$N$1000,"Призер",Информатика!$J$1:$J$1000,"имеются")</f>
        <v>0</v>
      </c>
      <c r="BW18" s="2">
        <f>COUNTIFS(Информатика!$H$1:$H$1000,11,Информатика!$N$1:$N$1000,"Победитель",Информатика!$J$1:$J$1000,"имеются")</f>
        <v>0</v>
      </c>
      <c r="BX18" s="100">
        <f t="shared" si="1"/>
        <v>0</v>
      </c>
    </row>
    <row r="19" spans="1:76">
      <c r="A19" s="34">
        <v>6</v>
      </c>
      <c r="B19" s="32" t="s">
        <v>46</v>
      </c>
      <c r="C19" s="15">
        <f t="shared" si="0"/>
        <v>1</v>
      </c>
      <c r="D19" s="2">
        <f t="shared" si="2"/>
        <v>6</v>
      </c>
      <c r="E19" s="2">
        <f t="shared" si="3"/>
        <v>0</v>
      </c>
      <c r="F19" s="2">
        <f t="shared" si="4"/>
        <v>0</v>
      </c>
      <c r="G19" s="2">
        <f>IF(SUM(W19,AE19,AM19,AU19,BC19,BK19,BS19)&lt;&gt;COUNTIF(Искусство!$N$1:$N$1000,"Призер"),"Ошибка",SUM(W19,AE19,AM19,AU19,BC19,BK19,BS19))</f>
        <v>0</v>
      </c>
      <c r="H19" s="2">
        <f>IF(SUM(X19,AF19,AN19,AV19,BD19,BL19,BT19)&lt;&gt;COUNTIF(Искусство!$N$1:$N$1000,"Победитель"),"Ошибка",SUM(X19,AF19,AN19,AV19,BD19,BL19,BT19))</f>
        <v>0</v>
      </c>
      <c r="I19" s="2">
        <f t="shared" si="5"/>
        <v>0</v>
      </c>
      <c r="J19" s="2">
        <f t="shared" si="6"/>
        <v>0</v>
      </c>
      <c r="K19" s="2">
        <f t="shared" si="7"/>
        <v>0</v>
      </c>
      <c r="L19" s="2"/>
      <c r="M19" s="2"/>
      <c r="N19" s="2"/>
      <c r="O19" s="2"/>
      <c r="P19" s="2"/>
      <c r="Q19" s="2"/>
      <c r="R19" s="2"/>
      <c r="S19" s="2"/>
      <c r="T19" s="2">
        <f>COUNTIF(Искусство!$H$1:$H$1000,5)</f>
        <v>0</v>
      </c>
      <c r="U19" s="169">
        <f>COUNTIFS(Искусство!$H$1:$H$1000,5,Искусство!$G$1:$G$1000,"&lt;5")</f>
        <v>0</v>
      </c>
      <c r="V19" s="169">
        <f>COUNTIFS(Искусство!$H$1:$H$1000,5,Искусство!$J$1:$J$1000,"имеются")</f>
        <v>0</v>
      </c>
      <c r="W19" s="2">
        <f>COUNTIFS(Искусство!$H$1:$H$1000,5,Искусство!$N$1:$N$1000,"Призер")</f>
        <v>0</v>
      </c>
      <c r="X19" s="2">
        <f>COUNTIFS(Искусство!$H$1:$H$1000,5,Искусство!$N$1:$N$1000,"Победитель")</f>
        <v>0</v>
      </c>
      <c r="Y19" s="2">
        <f>COUNTIFS(Искусство!$H$1:$H$1000,5,Искусство!$N$1:$N$1000,"Победитель",Искусство!$M$1:$M$1000,"100%")</f>
        <v>0</v>
      </c>
      <c r="Z19" s="2">
        <f>COUNTIFS(Искусство!$H$1:$H$1000,5,Искусство!$N$1:$N$1000,"Призер",Искусство!$J$1:$J$1000,"имеются")</f>
        <v>0</v>
      </c>
      <c r="AA19" s="2">
        <f>COUNTIFS(Искусство!$H$1:$H$1000,5,Искусство!$N$1:$N$1000,"Победитель",Искусство!$J$1:$J$1000,"имеются")</f>
        <v>0</v>
      </c>
      <c r="AB19" s="2">
        <f>COUNTIF(Искусство!$H$1:$H$1000,6)</f>
        <v>0</v>
      </c>
      <c r="AC19" s="169">
        <f>COUNTIFS(Искусство!$H$1:$H$1000,6,Искусство!$G$1:$G$1000,"&lt;6")</f>
        <v>0</v>
      </c>
      <c r="AD19" s="169">
        <f>COUNTIFS(Искусство!$H$1:$H$1000,6,Искусство!$J$1:$J$1000,"имеются")</f>
        <v>0</v>
      </c>
      <c r="AE19" s="2">
        <f>COUNTIFS(Искусство!$H$1:$H$1000,6,Искусство!$N$1:$N$1000,"Призер")</f>
        <v>0</v>
      </c>
      <c r="AF19" s="2">
        <f>COUNTIFS(Искусство!$H$1:$H$1000,6,Искусство!$N$1:$N$1000,"Победитель")</f>
        <v>0</v>
      </c>
      <c r="AG19" s="2">
        <f>COUNTIFS(Искусство!$H$1:$H$1000,6,Искусство!$N$1:$N$1000,"Победитель",Искусство!$M$1:$M$1000,"100%")</f>
        <v>0</v>
      </c>
      <c r="AH19" s="2">
        <f>COUNTIFS(Искусство!$H$1:$H$1000,6,Искусство!$N$1:$N$1000,"Призер",Искусство!$J$1:$J$1000,"имеются")</f>
        <v>0</v>
      </c>
      <c r="AI19" s="2">
        <f>COUNTIFS(Искусство!$H$1:$H$1000,6,Искусство!$N$1:$N$1000,"Победитель",Искусство!$J$1:$J$1000,"имеются")</f>
        <v>0</v>
      </c>
      <c r="AJ19" s="2">
        <f>COUNTIF(Искусство!$H$1:$H$1000,7)</f>
        <v>0</v>
      </c>
      <c r="AK19" s="169">
        <f>COUNTIFS(Искусство!$H$1:$H$1000,7,Искусство!$G$1:$G$1000,"&lt;7")</f>
        <v>0</v>
      </c>
      <c r="AL19" s="169">
        <f>COUNTIFS(Искусство!$H$1:$H$1000,7,Искусство!$J$1:$J$1000,"имеются")</f>
        <v>0</v>
      </c>
      <c r="AM19" s="2">
        <f>COUNTIFS(Искусство!$H$1:$H$1000,7,Искусство!$N$1:$N$1000,"Призер")</f>
        <v>0</v>
      </c>
      <c r="AN19" s="2">
        <f>COUNTIFS(Искусство!$H$1:$H$1000,7,Искусство!$N$1:$N$1000,"Победитель")</f>
        <v>0</v>
      </c>
      <c r="AO19" s="2">
        <f>COUNTIFS(Искусство!$H$1:$H$1000,7,Искусство!$N$1:$N$1000,"Победитель",Искусство!$M$1:$M$1000,"100%")</f>
        <v>0</v>
      </c>
      <c r="AP19" s="2">
        <f>COUNTIFS(Искусство!$H$1:$H$1000,7,Искусство!$N$1:$N$1000,"Призер",Искусство!$J$1:$J$1000,"имеются")</f>
        <v>0</v>
      </c>
      <c r="AQ19" s="2">
        <f>COUNTIFS(Искусство!$H$1:$H$1000,7,Искусство!$N$1:$N$1000,"Победитель",Искусство!$J$1:$J$1000,"имеются")</f>
        <v>0</v>
      </c>
      <c r="AR19" s="2">
        <f>COUNTIF(Искусство!$H$1:$H$1000,8)</f>
        <v>3</v>
      </c>
      <c r="AS19" s="169">
        <f>COUNTIFS(Искусство!$H$1:$H$1000,8,Искусство!$G$1:$G$1000,"&lt;8")</f>
        <v>0</v>
      </c>
      <c r="AT19" s="169">
        <f>COUNTIFS(Искусство!$H$1:$H$1000,8,Искусство!$J$1:$J$1000,"имеются")</f>
        <v>0</v>
      </c>
      <c r="AU19" s="2">
        <f>COUNTIFS(Искусство!$H$1:$H$1000,8,Искусство!$N$1:$N$1000,"Призер")</f>
        <v>0</v>
      </c>
      <c r="AV19" s="2">
        <f>COUNTIFS(Искусство!$H$1:$H$1000,8,Искусство!$N$1:$N$1000,"Победитель")</f>
        <v>0</v>
      </c>
      <c r="AW19" s="2">
        <f>COUNTIFS(Искусство!$H$1:$H$1000,8,Искусство!$N$1:$N$1000,"Победитель",Искусство!$M$1:$M$1000,"100%")</f>
        <v>0</v>
      </c>
      <c r="AX19" s="2">
        <f>COUNTIFS(Искусство!$H$1:$H$1000,8,Искусство!$N$1:$N$1000,"Призер",Искусство!$J$1:$J$1000,"имеются")</f>
        <v>0</v>
      </c>
      <c r="AY19" s="2">
        <f>COUNTIFS(Искусство!$H$1:$H$1000,8,Искусство!$N$1:$N$1000,"Победитель",Искусство!$J$1:$J$1000,"имеются")</f>
        <v>0</v>
      </c>
      <c r="AZ19" s="2">
        <f>COUNTIF(Искусство!$H$1:$H$1000,9)</f>
        <v>3</v>
      </c>
      <c r="BA19" s="169">
        <f>COUNTIFS(Искусство!$H$1:$H$1000,9,Искусство!$G$1:$G$1000,"&lt;9")</f>
        <v>0</v>
      </c>
      <c r="BB19" s="169">
        <f>COUNTIFS(Искусство!$H$1:$H$1000,9,Искусство!$J$1:$J$1000,"имеются")</f>
        <v>0</v>
      </c>
      <c r="BC19" s="2">
        <f>COUNTIFS(Искусство!$H$1:$H$1000,9,Искусство!$N$1:$N$1000,"Призер")</f>
        <v>0</v>
      </c>
      <c r="BD19" s="2">
        <f>COUNTIFS(Искусство!$H$1:$H$1000,9,Искусство!$N$1:$N$1000,"Победитель")</f>
        <v>0</v>
      </c>
      <c r="BE19" s="2">
        <f>COUNTIFS(Искусство!$H$1:$H$1000,9,Искусство!$N$1:$N$1000,"Победитель",Искусство!$M$1:$M$1000,"100%")</f>
        <v>0</v>
      </c>
      <c r="BF19" s="2">
        <f>COUNTIFS(Искусство!$H$1:$H$1000,9,Искусство!$N$1:$N$1000,"Призер",Искусство!$J$1:$J$1000,"имеются")</f>
        <v>0</v>
      </c>
      <c r="BG19" s="2">
        <f>COUNTIFS(Искусство!$H$1:$H$1000,9,Искусство!$N$1:$N$1000,"Победитель",Искусство!$J$1:$J$1000,"имеются")</f>
        <v>0</v>
      </c>
      <c r="BH19" s="2">
        <f>COUNTIF(Искусство!$H$1:$H$1000,10)</f>
        <v>0</v>
      </c>
      <c r="BI19" s="169">
        <f>COUNTIFS(Искусство!$H$1:$H$1000,10,Искусство!$G$1:$G$1000,"&lt;10")</f>
        <v>0</v>
      </c>
      <c r="BJ19" s="169">
        <f>COUNTIFS(Искусство!$H$1:$H$1000,10,Искусство!$J$1:$J$1000,"имеются")</f>
        <v>0</v>
      </c>
      <c r="BK19" s="2">
        <f>COUNTIFS(Искусство!$H$1:$H$1000,10,Искусство!$N$1:$N$1000,"Призер")</f>
        <v>0</v>
      </c>
      <c r="BL19" s="2">
        <f>COUNTIFS(Искусство!$H$1:$H$1000,10,Искусство!$N$1:$N$1000,"Победитель")</f>
        <v>0</v>
      </c>
      <c r="BM19" s="2">
        <f>COUNTIFS(Искусство!$H$1:$H$1000,10,Искусство!$N$1:$N$1000,"Победитель",Искусство!$M$1:$M$1000,"100%")</f>
        <v>0</v>
      </c>
      <c r="BN19" s="2">
        <f>COUNTIFS(Искусство!$H$1:$H$1000,10,Искусство!$N$1:$N$1000,"Призер",Искусство!$J$1:$J$1000,"имеются")</f>
        <v>0</v>
      </c>
      <c r="BO19" s="2">
        <f>COUNTIFS(Искусство!$H$1:$H$1000,10,Искусство!$N$1:$N$1000,"Победитель",Искусство!$J$1:$J$1000,"имеются")</f>
        <v>0</v>
      </c>
      <c r="BP19" s="2">
        <f>COUNTIF(Искусство!$H$1:$H$1000,11)</f>
        <v>0</v>
      </c>
      <c r="BQ19" s="169">
        <f>COUNTIFS(Искусство!$H$1:$H$1000,11,Искусство!$G$1:$G$1000,"&lt;11")</f>
        <v>0</v>
      </c>
      <c r="BR19" s="169">
        <f>COUNTIFS(Искусство!$H$1:$H$1000,11,Искусство!$J$1:$J$1000,"имеются")</f>
        <v>0</v>
      </c>
      <c r="BS19" s="2">
        <f>COUNTIFS(Искусство!$H$1:$H$1000,11,Искусство!$N$1:$N$1000,"Призер")</f>
        <v>0</v>
      </c>
      <c r="BT19" s="2">
        <f>COUNTIFS(Искусство!$H$1:$H$1000,11,Искусство!$N$1:$N$1000,"Победитель")</f>
        <v>0</v>
      </c>
      <c r="BU19" s="2">
        <f>COUNTIFS(Искусство!$H$1:$H$1000,11,Искусство!$N$1:$N$1000,"Победитель",Искусство!$M$1:$M$1000,"100%")</f>
        <v>0</v>
      </c>
      <c r="BV19" s="2">
        <f>COUNTIFS(Искусство!$H$1:$H$1000,11,Искусство!$N$1:$N$1000,"Призер",Искусство!$J$1:$J$1000,"имеются")</f>
        <v>0</v>
      </c>
      <c r="BW19" s="2">
        <f>COUNTIFS(Искусство!$H$1:$H$1000,11,Искусство!$N$1:$N$1000,"Победитель",Искусство!$J$1:$J$1000,"имеются")</f>
        <v>0</v>
      </c>
      <c r="BX19" s="100">
        <f t="shared" si="1"/>
        <v>0</v>
      </c>
    </row>
    <row r="20" spans="1:76">
      <c r="A20" s="34">
        <v>7</v>
      </c>
      <c r="B20" s="32" t="s">
        <v>115</v>
      </c>
      <c r="C20" s="15">
        <f>IF(D20&gt;0,1,0)</f>
        <v>0</v>
      </c>
      <c r="D20" s="2">
        <f t="shared" si="2"/>
        <v>0</v>
      </c>
      <c r="E20" s="2">
        <f t="shared" si="3"/>
        <v>0</v>
      </c>
      <c r="F20" s="2">
        <f t="shared" si="4"/>
        <v>0</v>
      </c>
      <c r="G20" s="2">
        <f>IF(SUM(W20,AE20,AM20,AU20,BC20,BK20,BS20)&lt;&gt;COUNTIF(Испанский_язык!$N$1:$N$1000,"Призер"),"Ошибка",SUM(W20,AE20,AM20,AU20,BC20,BK20,BS20))</f>
        <v>0</v>
      </c>
      <c r="H20" s="2">
        <f>IF(SUM(X20,AF20,AN20,AV20,BD20,BL20,BT20)&lt;&gt;COUNTIF(Испанский_язык!$N$1:$N$1000,"Победитель"),"Ошибка",SUM(X20,AF20,AN20,AV20,BD20,BL20,BT20))</f>
        <v>0</v>
      </c>
      <c r="I20" s="2">
        <f t="shared" si="5"/>
        <v>0</v>
      </c>
      <c r="J20" s="2">
        <f t="shared" si="6"/>
        <v>0</v>
      </c>
      <c r="K20" s="2">
        <f t="shared" si="7"/>
        <v>0</v>
      </c>
      <c r="L20" s="2"/>
      <c r="M20" s="2"/>
      <c r="N20" s="2"/>
      <c r="O20" s="2"/>
      <c r="P20" s="2"/>
      <c r="Q20" s="2"/>
      <c r="R20" s="2"/>
      <c r="S20" s="2"/>
      <c r="T20" s="2">
        <f>COUNTIF(Испанский_язык!$H$1:$H$1000,5)</f>
        <v>0</v>
      </c>
      <c r="U20" s="169">
        <f>COUNTIFS(Испанский_язык!$H$1:$H$1000,5,Испанский_язык!$G$1:$G$1000,"&lt;5")</f>
        <v>0</v>
      </c>
      <c r="V20" s="169">
        <f>COUNTIFS(Испанский_язык!$H$1:$H$1000,5,Испанский_язык!$J$1:$J$1000,"имеются")</f>
        <v>0</v>
      </c>
      <c r="W20" s="2">
        <f>COUNTIFS(Испанский_язык!$H$1:$H$1000,5,Испанский_язык!$N$1:$N$1000,"Призер")</f>
        <v>0</v>
      </c>
      <c r="X20" s="2">
        <f>COUNTIFS(Испанский_язык!$H$1:$H$1000,5,Испанский_язык!$N$1:$N$1000,"Победитель")</f>
        <v>0</v>
      </c>
      <c r="Y20" s="2">
        <f>COUNTIFS(Испанский_язык!$H$1:$H$1000,5,Испанский_язык!$N$1:$N$1000,"Победитель",Испанский_язык!$M$1:$M$1000,"100%")</f>
        <v>0</v>
      </c>
      <c r="Z20" s="2">
        <f>COUNTIFS(Испанский_язык!$H$1:$H$1000,5,Испанский_язык!$N$1:$N$1000,"Призер",Испанский_язык!$J$1:$J$1000,"имеются")</f>
        <v>0</v>
      </c>
      <c r="AA20" s="2">
        <f>COUNTIFS(Испанский_язык!$H$1:$H$1000,5,Испанский_язык!$N$1:$N$1000,"Победитель",Испанский_язык!$J$1:$J$1000,"имеются")</f>
        <v>0</v>
      </c>
      <c r="AB20" s="2">
        <f>COUNTIF(Испанский_язык!$H$1:$H$1000,6)</f>
        <v>0</v>
      </c>
      <c r="AC20" s="169">
        <f>COUNTIFS(Испанский_язык!$H$1:$H$1000,6,Испанский_язык!$G$1:$G$1000,"&lt;6")</f>
        <v>0</v>
      </c>
      <c r="AD20" s="169">
        <f>COUNTIFS(Испанский_язык!$H$1:$H$1000,6,Испанский_язык!$J$1:$J$1000,"имеются")</f>
        <v>0</v>
      </c>
      <c r="AE20" s="2">
        <f>COUNTIFS(Испанский_язык!$H$1:$H$1000,6,Испанский_язык!$N$1:$N$1000,"Призер")</f>
        <v>0</v>
      </c>
      <c r="AF20" s="2">
        <f>COUNTIFS(Испанский_язык!$H$1:$H$1000,6,Испанский_язык!$N$1:$N$1000,"Победитель")</f>
        <v>0</v>
      </c>
      <c r="AG20" s="2">
        <f>COUNTIFS(Испанский_язык!$H$1:$H$1000,6,Испанский_язык!$N$1:$N$1000,"Победитель",Испанский_язык!$M$1:$M$1000,"100%")</f>
        <v>0</v>
      </c>
      <c r="AH20" s="2">
        <f>COUNTIFS(Испанский_язык!$H$1:$H$1000,6,Испанский_язык!$N$1:$N$1000,"Призер",Испанский_язык!$J$1:$J$1000,"имеются")</f>
        <v>0</v>
      </c>
      <c r="AI20" s="2">
        <f>COUNTIFS(Испанский_язык!$H$1:$H$1000,6,Испанский_язык!$N$1:$N$1000,"Победитель",Испанский_язык!$J$1:$J$1000,"имеются")</f>
        <v>0</v>
      </c>
      <c r="AJ20" s="2">
        <f>COUNTIF(Испанский_язык!$H$1:$H$1000,7)</f>
        <v>0</v>
      </c>
      <c r="AK20" s="169">
        <f>COUNTIFS(Испанский_язык!$H$1:$H$1000,7,Испанский_язык!$G$1:$G$1000,"&lt;7")</f>
        <v>0</v>
      </c>
      <c r="AL20" s="169">
        <f>COUNTIFS(Испанский_язык!$H$1:$H$1000,7,Испанский_язык!$J$1:$J$1000,"имеются")</f>
        <v>0</v>
      </c>
      <c r="AM20" s="2">
        <f>COUNTIFS(Испанский_язык!$H$1:$H$1000,7,Испанский_язык!$N$1:$N$1000,"Призер")</f>
        <v>0</v>
      </c>
      <c r="AN20" s="2">
        <f>COUNTIFS(Испанский_язык!$H$1:$H$1000,7,Испанский_язык!$N$1:$N$1000,"Победитель")</f>
        <v>0</v>
      </c>
      <c r="AO20" s="2">
        <f>COUNTIFS(Испанский_язык!$H$1:$H$1000,7,Испанский_язык!$N$1:$N$1000,"Победитель",Испанский_язык!$M$1:$M$1000,"100%")</f>
        <v>0</v>
      </c>
      <c r="AP20" s="2">
        <f>COUNTIFS(Испанский_язык!$H$1:$H$1000,7,Испанский_язык!$N$1:$N$1000,"Призер",Испанский_язык!$J$1:$J$1000,"имеются")</f>
        <v>0</v>
      </c>
      <c r="AQ20" s="2">
        <f>COUNTIFS(Испанский_язык!$H$1:$H$1000,7,Испанский_язык!$N$1:$N$1000,"Победитель",Испанский_язык!$J$1:$J$1000,"имеются")</f>
        <v>0</v>
      </c>
      <c r="AR20" s="2">
        <f>COUNTIF(Испанский_язык!$H$1:$H$1000,8)</f>
        <v>0</v>
      </c>
      <c r="AS20" s="169">
        <f>COUNTIFS(Испанский_язык!$H$1:$H$1000,8,Испанский_язык!$G$1:$G$1000,"&lt;8")</f>
        <v>0</v>
      </c>
      <c r="AT20" s="169">
        <f>COUNTIFS(Испанский_язык!$H$1:$H$1000,8,Испанский_язык!$J$1:$J$1000,"имеются")</f>
        <v>0</v>
      </c>
      <c r="AU20" s="2">
        <f>COUNTIFS(Испанский_язык!$H$1:$H$1000,8,Испанский_язык!$N$1:$N$1000,"Призер")</f>
        <v>0</v>
      </c>
      <c r="AV20" s="2">
        <f>COUNTIFS(Испанский_язык!$H$1:$H$1000,8,Испанский_язык!$N$1:$N$1000,"Победитель")</f>
        <v>0</v>
      </c>
      <c r="AW20" s="2">
        <f>COUNTIFS(Испанский_язык!$H$1:$H$1000,8,Испанский_язык!$N$1:$N$1000,"Победитель",Испанский_язык!$M$1:$M$1000,"100%")</f>
        <v>0</v>
      </c>
      <c r="AX20" s="2">
        <f>COUNTIFS(Испанский_язык!$H$1:$H$1000,8,Испанский_язык!$N$1:$N$1000,"Призер",Испанский_язык!$J$1:$J$1000,"имеются")</f>
        <v>0</v>
      </c>
      <c r="AY20" s="2">
        <f>COUNTIFS(Испанский_язык!$H$1:$H$1000,8,Испанский_язык!$N$1:$N$1000,"Победитель",Испанский_язык!$J$1:$J$1000,"имеются")</f>
        <v>0</v>
      </c>
      <c r="AZ20" s="2">
        <f>COUNTIF(Испанский_язык!$H$1:$H$1000,9)</f>
        <v>0</v>
      </c>
      <c r="BA20" s="169">
        <f>COUNTIFS(Испанский_язык!$H$1:$H$1000,9,Испанский_язык!$G$1:$G$1000,"&lt;9")</f>
        <v>0</v>
      </c>
      <c r="BB20" s="169">
        <f>COUNTIFS(Испанский_язык!$H$1:$H$1000,9,Испанский_язык!$J$1:$J$1000,"имеются")</f>
        <v>0</v>
      </c>
      <c r="BC20" s="2">
        <f>COUNTIFS(Испанский_язык!$H$1:$H$1000,9,Испанский_язык!$N$1:$N$1000,"Призер")</f>
        <v>0</v>
      </c>
      <c r="BD20" s="2">
        <f>COUNTIFS(Испанский_язык!$H$1:$H$1000,9,Испанский_язык!$N$1:$N$1000,"Победитель")</f>
        <v>0</v>
      </c>
      <c r="BE20" s="2">
        <f>COUNTIFS(Испанский_язык!$H$1:$H$1000,9,Испанский_язык!$N$1:$N$1000,"Победитель",Испанский_язык!$M$1:$M$1000,"100%")</f>
        <v>0</v>
      </c>
      <c r="BF20" s="2">
        <f>COUNTIFS(Испанский_язык!$H$1:$H$1000,9,Испанский_язык!$N$1:$N$1000,"Призер",Испанский_язык!$J$1:$J$1000,"имеются")</f>
        <v>0</v>
      </c>
      <c r="BG20" s="2">
        <f>COUNTIFS(Испанский_язык!$H$1:$H$1000,9,Испанский_язык!$N$1:$N$1000,"Победитель",Испанский_язык!$J$1:$J$1000,"имеются")</f>
        <v>0</v>
      </c>
      <c r="BH20" s="2">
        <f>COUNTIF(Испанский_язык!$H$1:$H$1000,10)</f>
        <v>0</v>
      </c>
      <c r="BI20" s="169">
        <f>COUNTIFS(Испанский_язык!$H$1:$H$1000,10,Испанский_язык!$G$1:$G$1000,"&lt;10")</f>
        <v>0</v>
      </c>
      <c r="BJ20" s="169">
        <f>COUNTIFS(Испанский_язык!$H$1:$H$1000,10,Испанский_язык!$J$1:$J$1000,"имеются")</f>
        <v>0</v>
      </c>
      <c r="BK20" s="2">
        <f>COUNTIFS(Испанский_язык!$H$1:$H$1000,10,Испанский_язык!$N$1:$N$1000,"Призер")</f>
        <v>0</v>
      </c>
      <c r="BL20" s="2">
        <f>COUNTIFS(Испанский_язык!$H$1:$H$1000,10,Испанский_язык!$N$1:$N$1000,"Победитель")</f>
        <v>0</v>
      </c>
      <c r="BM20" s="2">
        <f>COUNTIFS(Испанский_язык!$H$1:$H$1000,10,Испанский_язык!$N$1:$N$1000,"Победитель",Испанский_язык!$M$1:$M$1000,"100%")</f>
        <v>0</v>
      </c>
      <c r="BN20" s="2">
        <f>COUNTIFS(Испанский_язык!$H$1:$H$1000,10,Испанский_язык!$N$1:$N$1000,"Призер",Испанский_язык!$J$1:$J$1000,"имеются")</f>
        <v>0</v>
      </c>
      <c r="BO20" s="2">
        <f>COUNTIFS(Испанский_язык!$H$1:$H$1000,10,Испанский_язык!$N$1:$N$1000,"Победитель",Испанский_язык!$J$1:$J$1000,"имеются")</f>
        <v>0</v>
      </c>
      <c r="BP20" s="2">
        <f>COUNTIF(Испанский_язык!$H$1:$H$1000,11)</f>
        <v>0</v>
      </c>
      <c r="BQ20" s="169">
        <f>COUNTIFS(Испанский_язык!$H$1:$H$1000,11,Испанский_язык!$G$1:$G$1000,"&lt;11")</f>
        <v>0</v>
      </c>
      <c r="BR20" s="169">
        <f>COUNTIFS(Испанский_язык!$H$1:$H$1000,11,Испанский_язык!$J$1:$J$1000,"имеются")</f>
        <v>0</v>
      </c>
      <c r="BS20" s="2">
        <f>COUNTIFS(Испанский_язык!$H$1:$H$1000,11,Испанский_язык!$N$1:$N$1000,"Призер")</f>
        <v>0</v>
      </c>
      <c r="BT20" s="2">
        <f>COUNTIFS(Испанский_язык!$H$1:$H$1000,11,Испанский_язык!$N$1:$N$1000,"Победитель")</f>
        <v>0</v>
      </c>
      <c r="BU20" s="2">
        <f>COUNTIFS(Испанский_язык!$H$1:$H$1000,11,Испанский_язык!$N$1:$N$1000,"Победитель",Испанский_язык!$M$1:$M$1000,"100%")</f>
        <v>0</v>
      </c>
      <c r="BV20" s="2">
        <f>COUNTIFS(Испанский_язык!$H$1:$H$1000,11,Испанский_язык!$N$1:$N$1000,"Призер",Испанский_язык!$J$1:$J$1000,"имеются")</f>
        <v>0</v>
      </c>
      <c r="BW20" s="2">
        <f>COUNTIFS(Испанский_язык!$H$1:$H$1000,11,Испанский_язык!$N$1:$N$1000,"Победитель",Испанский_язык!$J$1:$J$1000,"имеются")</f>
        <v>0</v>
      </c>
      <c r="BX20" s="100" t="e">
        <f t="shared" si="1"/>
        <v>#DIV/0!</v>
      </c>
    </row>
    <row r="21" spans="1:76">
      <c r="A21" s="34">
        <v>8</v>
      </c>
      <c r="B21" s="32" t="s">
        <v>25</v>
      </c>
      <c r="C21" s="15">
        <f t="shared" si="0"/>
        <v>1</v>
      </c>
      <c r="D21" s="2">
        <f t="shared" si="2"/>
        <v>27</v>
      </c>
      <c r="E21" s="2">
        <f t="shared" si="3"/>
        <v>0</v>
      </c>
      <c r="F21" s="2">
        <f t="shared" si="4"/>
        <v>0</v>
      </c>
      <c r="G21" s="2">
        <f>IF(SUM(W21,AE21,AM21,AU21,BC21,BK21,BS21)&lt;&gt;COUNTIF(История!$N$1:$N$1000,"Призер"),"Ошибка",SUM(W21,AE21,AM21,AU21,BC21,BK21,BS21))</f>
        <v>2</v>
      </c>
      <c r="H21" s="2">
        <f>IF(SUM(X21,AF21,AN21,AV21,BD21,BL21,BT21)&lt;&gt;COUNTIF(История!$N$1:$N$1000,"Победитель"),"Ошибка",SUM(X21,AF21,AN21,AV21,BD21,BL21,BT21))</f>
        <v>2</v>
      </c>
      <c r="I21" s="2">
        <f t="shared" si="5"/>
        <v>0</v>
      </c>
      <c r="J21" s="2">
        <f t="shared" si="6"/>
        <v>0</v>
      </c>
      <c r="K21" s="2">
        <f t="shared" si="7"/>
        <v>0</v>
      </c>
      <c r="L21" s="2"/>
      <c r="M21" s="2"/>
      <c r="N21" s="2"/>
      <c r="O21" s="2"/>
      <c r="P21" s="2"/>
      <c r="Q21" s="2"/>
      <c r="R21" s="2"/>
      <c r="S21" s="2"/>
      <c r="T21" s="2">
        <f>COUNTIF(История!$H$1:$H$1000,5)</f>
        <v>0</v>
      </c>
      <c r="U21" s="169">
        <f>COUNTIFS(История!$H$1:$H$1000,5,История!$G$1:$G$1000,"&lt;5")</f>
        <v>0</v>
      </c>
      <c r="V21" s="169">
        <f>COUNTIFS(История!$H$1:$H$1000,5,История!$J$1:$J$1000,"имеются")</f>
        <v>0</v>
      </c>
      <c r="W21" s="2">
        <f>COUNTIFS(История!$H$1:$H$1000,5,История!$N$1:$N$1000,"Призер")</f>
        <v>0</v>
      </c>
      <c r="X21" s="2">
        <f>COUNTIFS(История!$H$1:$H$1000,5,История!$N$1:$N$1000,"Победитель")</f>
        <v>0</v>
      </c>
      <c r="Y21" s="2">
        <f>COUNTIFS(История!$H$1:$H$1000,5,История!$N$1:$N$1000,"Победитель",История!$M$1:$M$1000,"100%")</f>
        <v>0</v>
      </c>
      <c r="Z21" s="2">
        <f>COUNTIFS(История!$H$1:$H$1000,5,История!$N$1:$N$1000,"Призер",История!$J$1:$J$1000,"имеются")</f>
        <v>0</v>
      </c>
      <c r="AA21" s="2">
        <f>COUNTIFS(История!$H$1:$H$1000,5,История!$N$1:$N$1000,"Победитель",История!$J$1:$J$1000,"имеются")</f>
        <v>0</v>
      </c>
      <c r="AB21" s="2">
        <f>COUNTIF(История!$H$1:$H$1000,6)</f>
        <v>5</v>
      </c>
      <c r="AC21" s="169">
        <f>COUNTIFS(История!$H$1:$H$1000,6,История!$G$1:$G$1000,"&lt;6")</f>
        <v>0</v>
      </c>
      <c r="AD21" s="169">
        <f>COUNTIFS(История!$H$1:$H$1000,6,История!$J$1:$J$1000,"имеются")</f>
        <v>0</v>
      </c>
      <c r="AE21" s="2">
        <f>COUNTIFS(История!$H$1:$H$1000,6,История!$N$1:$N$1000,"Призер")</f>
        <v>1</v>
      </c>
      <c r="AF21" s="2">
        <f>COUNTIFS(История!$H$1:$H$1000,6,История!$N$1:$N$1000,"Победитель")</f>
        <v>1</v>
      </c>
      <c r="AG21" s="2">
        <f>COUNTIFS(История!$H$1:$H$1000,6,История!$N$1:$N$1000,"Победитель",История!$M$1:$M$1000,"100%")</f>
        <v>0</v>
      </c>
      <c r="AH21" s="2">
        <f>COUNTIFS(История!$H$1:$H$1000,6,История!$N$1:$N$1000,"Призер",История!$J$1:$J$1000,"имеются")</f>
        <v>0</v>
      </c>
      <c r="AI21" s="2">
        <f>COUNTIFS(История!$H$1:$H$1000,6,История!$N$1:$N$1000,"Победитель",История!$J$1:$J$1000,"имеются")</f>
        <v>0</v>
      </c>
      <c r="AJ21" s="2">
        <f>COUNTIF(История!$H$1:$H$1000,7)</f>
        <v>2</v>
      </c>
      <c r="AK21" s="169">
        <f>COUNTIFS(История!$H$1:$H$1000,7,История!$G$1:$G$1000,"&lt;7")</f>
        <v>0</v>
      </c>
      <c r="AL21" s="169">
        <f>COUNTIFS(История!$H$1:$H$1000,7,История!$J$1:$J$1000,"имеются")</f>
        <v>0</v>
      </c>
      <c r="AM21" s="2">
        <f>COUNTIFS(История!$H$1:$H$1000,7,История!$N$1:$N$1000,"Призер")</f>
        <v>0</v>
      </c>
      <c r="AN21" s="2">
        <f>COUNTIFS(История!$H$1:$H$1000,7,История!$N$1:$N$1000,"Победитель")</f>
        <v>0</v>
      </c>
      <c r="AO21" s="2">
        <f>COUNTIFS(История!$H$1:$H$1000,7,История!$N$1:$N$1000,"Победитель",История!$M$1:$M$1000,"100%")</f>
        <v>0</v>
      </c>
      <c r="AP21" s="2">
        <f>COUNTIFS(История!$H$1:$H$1000,7,История!$N$1:$N$1000,"Призер",История!$J$1:$J$1000,"имеются")</f>
        <v>0</v>
      </c>
      <c r="AQ21" s="2">
        <f>COUNTIFS(История!$H$1:$H$1000,7,История!$N$1:$N$1000,"Победитель",История!$J$1:$J$1000,"имеются")</f>
        <v>0</v>
      </c>
      <c r="AR21" s="2">
        <f>COUNTIF(История!$H$1:$H$1000,8)</f>
        <v>7</v>
      </c>
      <c r="AS21" s="169">
        <f>COUNTIFS(История!$H$1:$H$1000,8,История!$G$1:$G$1000,"&lt;8")</f>
        <v>0</v>
      </c>
      <c r="AT21" s="169">
        <f>COUNTIFS(История!$H$1:$H$1000,8,История!$J$1:$J$1000,"имеются")</f>
        <v>0</v>
      </c>
      <c r="AU21" s="2">
        <f>COUNTIFS(История!$H$1:$H$1000,8,История!$N$1:$N$1000,"Призер")</f>
        <v>0</v>
      </c>
      <c r="AV21" s="2">
        <f>COUNTIFS(История!$H$1:$H$1000,8,История!$N$1:$N$1000,"Победитель")</f>
        <v>0</v>
      </c>
      <c r="AW21" s="2">
        <f>COUNTIFS(История!$H$1:$H$1000,8,История!$N$1:$N$1000,"Победитель",История!$M$1:$M$1000,"100%")</f>
        <v>0</v>
      </c>
      <c r="AX21" s="2">
        <f>COUNTIFS(История!$H$1:$H$1000,8,История!$N$1:$N$1000,"Призер",История!$J$1:$J$1000,"имеются")</f>
        <v>0</v>
      </c>
      <c r="AY21" s="2">
        <f>COUNTIFS(История!$H$1:$H$1000,8,История!$N$1:$N$1000,"Победитель",История!$J$1:$J$1000,"имеются")</f>
        <v>0</v>
      </c>
      <c r="AZ21" s="2">
        <f>COUNTIF(История!$H$1:$H$1000,9)</f>
        <v>6</v>
      </c>
      <c r="BA21" s="169">
        <f>COUNTIFS(История!$H$1:$H$1000,9,История!$G$1:$G$1000,"&lt;9")</f>
        <v>0</v>
      </c>
      <c r="BB21" s="169">
        <f>COUNTIFS(История!$H$1:$H$1000,9,История!$J$1:$J$1000,"имеются")</f>
        <v>0</v>
      </c>
      <c r="BC21" s="2">
        <f>COUNTIFS(История!$H$1:$H$1000,9,История!$N$1:$N$1000,"Призер")</f>
        <v>0</v>
      </c>
      <c r="BD21" s="2">
        <f>COUNTIFS(История!$H$1:$H$1000,9,История!$N$1:$N$1000,"Победитель")</f>
        <v>0</v>
      </c>
      <c r="BE21" s="2">
        <f>COUNTIFS(История!$H$1:$H$1000,9,История!$N$1:$N$1000,"Победитель",История!$M$1:$M$1000,"100%")</f>
        <v>0</v>
      </c>
      <c r="BF21" s="2">
        <f>COUNTIFS(История!$H$1:$H$1000,9,История!$N$1:$N$1000,"Призер",История!$J$1:$J$1000,"имеются")</f>
        <v>0</v>
      </c>
      <c r="BG21" s="2">
        <f>COUNTIFS(История!$H$1:$H$1000,9,История!$N$1:$N$1000,"Победитель",История!$J$1:$J$1000,"имеются")</f>
        <v>0</v>
      </c>
      <c r="BH21" s="2">
        <f>COUNTIF(История!$H$1:$H$1000,10)</f>
        <v>0</v>
      </c>
      <c r="BI21" s="169">
        <f>COUNTIFS(История!$H$1:$H$1000,10,История!$G$1:$G$1000,"&lt;10")</f>
        <v>0</v>
      </c>
      <c r="BJ21" s="169">
        <f>COUNTIFS(История!$H$1:$H$1000,10,История!$J$1:$J$1000,"имеются")</f>
        <v>0</v>
      </c>
      <c r="BK21" s="2">
        <f>COUNTIFS(История!$H$1:$H$1000,10,История!$N$1:$N$1000,"Призер")</f>
        <v>0</v>
      </c>
      <c r="BL21" s="2">
        <f>COUNTIFS(История!$H$1:$H$1000,10,История!$N$1:$N$1000,"Победитель")</f>
        <v>0</v>
      </c>
      <c r="BM21" s="2">
        <f>COUNTIFS(История!$H$1:$H$1000,10,История!$N$1:$N$1000,"Победитель",История!$M$1:$M$1000,"100%")</f>
        <v>0</v>
      </c>
      <c r="BN21" s="2">
        <f>COUNTIFS(История!$H$1:$H$1000,10,История!$N$1:$N$1000,"Призер",История!$J$1:$J$1000,"имеются")</f>
        <v>0</v>
      </c>
      <c r="BO21" s="2">
        <f>COUNTIFS(История!$H$1:$H$1000,10,История!$N$1:$N$1000,"Победитель",История!$J$1:$J$1000,"имеются")</f>
        <v>0</v>
      </c>
      <c r="BP21" s="2">
        <f>COUNTIF(История!$H$1:$H$1000,11)</f>
        <v>7</v>
      </c>
      <c r="BQ21" s="169">
        <f>COUNTIFS(История!$H$1:$H$1000,11,История!$G$1:$G$1000,"&lt;11")</f>
        <v>0</v>
      </c>
      <c r="BR21" s="169">
        <f>COUNTIFS(История!$H$1:$H$1000,11,История!$J$1:$J$1000,"имеются")</f>
        <v>0</v>
      </c>
      <c r="BS21" s="2">
        <f>COUNTIFS(История!$H$1:$H$1000,11,История!$N$1:$N$1000,"Призер")</f>
        <v>1</v>
      </c>
      <c r="BT21" s="2">
        <f>COUNTIFS(История!$H$1:$H$1000,11,История!$N$1:$N$1000,"Победитель")</f>
        <v>1</v>
      </c>
      <c r="BU21" s="2">
        <f>COUNTIFS(История!$H$1:$H$1000,11,История!$N$1:$N$1000,"Победитель",История!$M$1:$M$1000,"100%")</f>
        <v>0</v>
      </c>
      <c r="BV21" s="2">
        <f>COUNTIFS(История!$H$1:$H$1000,11,История!$N$1:$N$1000,"Призер",История!$J$1:$J$1000,"имеются")</f>
        <v>0</v>
      </c>
      <c r="BW21" s="2">
        <f>COUNTIFS(История!$H$1:$H$1000,11,История!$N$1:$N$1000,"Победитель",История!$J$1:$J$1000,"имеются")</f>
        <v>0</v>
      </c>
      <c r="BX21" s="100">
        <f t="shared" si="1"/>
        <v>0.14814814814814814</v>
      </c>
    </row>
    <row r="22" spans="1:76">
      <c r="A22" s="34">
        <v>9</v>
      </c>
      <c r="B22" s="32" t="s">
        <v>86</v>
      </c>
      <c r="C22" s="15">
        <f t="shared" si="0"/>
        <v>0</v>
      </c>
      <c r="D22" s="2">
        <f t="shared" si="2"/>
        <v>0</v>
      </c>
      <c r="E22" s="2">
        <f t="shared" si="3"/>
        <v>0</v>
      </c>
      <c r="F22" s="2">
        <f t="shared" si="4"/>
        <v>0</v>
      </c>
      <c r="G22" s="2">
        <f>IF(SUM(W22,AE22,AM22,AU22,BC22,BK22,BS22)&lt;&gt;COUNTIF(Итальянский_язык!$N$1:$N$1000,"Призер"),"Ошибка",SUM(W22,AE22,AM22,AU22,BC22,BK22,BS22))</f>
        <v>0</v>
      </c>
      <c r="H22" s="2">
        <f>IF(SUM(X22,AF22,AN22,AV22,BD22,BL22,BT22)&lt;&gt;COUNTIF(Итальянский_язык!$N$1:$N$1000,"Победитель"),"Ошибка",SUM(X22,AF22,AN22,AV22,BD22,BL22,BT22))</f>
        <v>0</v>
      </c>
      <c r="I22" s="2">
        <f t="shared" si="5"/>
        <v>0</v>
      </c>
      <c r="J22" s="2">
        <f t="shared" si="6"/>
        <v>0</v>
      </c>
      <c r="K22" s="2">
        <f t="shared" si="7"/>
        <v>0</v>
      </c>
      <c r="L22" s="2"/>
      <c r="M22" s="2"/>
      <c r="N22" s="2"/>
      <c r="O22" s="2"/>
      <c r="P22" s="2"/>
      <c r="Q22" s="2"/>
      <c r="R22" s="2"/>
      <c r="S22" s="2"/>
      <c r="T22" s="2">
        <f>COUNTIF(Итальянский_язык!$H$1:$H$1000,5)</f>
        <v>0</v>
      </c>
      <c r="U22" s="169">
        <f>COUNTIFS(Итальянский_язык!$H$1:$H$1000,5,Итальянский_язык!$G$1:$G$1000,"&lt;5")</f>
        <v>0</v>
      </c>
      <c r="V22" s="169">
        <f>COUNTIFS(Итальянский_язык!$H$1:$H$1000,5,Итальянский_язык!$J$1:$J$1000,"имеются")</f>
        <v>0</v>
      </c>
      <c r="W22" s="2">
        <f>COUNTIFS(Итальянский_язык!$H$1:$H$1000,5,Итальянский_язык!$N$1:$N$1000,"Призер")</f>
        <v>0</v>
      </c>
      <c r="X22" s="2">
        <f>COUNTIFS(Итальянский_язык!$H$1:$H$1000,5,Итальянский_язык!$N$1:$N$1000,"Победитель")</f>
        <v>0</v>
      </c>
      <c r="Y22" s="2">
        <f>COUNTIFS(Итальянский_язык!$H$1:$H$1000,5,Итальянский_язык!$N$1:$N$1000,"Победитель",Итальянский_язык!$M$1:$M$1000,"100%")</f>
        <v>0</v>
      </c>
      <c r="Z22" s="2">
        <f>COUNTIFS(Итальянский_язык!$H$1:$H$1000,5,Итальянский_язык!$N$1:$N$1000,"Призер",Итальянский_язык!$J$1:$J$1000,"имеются")</f>
        <v>0</v>
      </c>
      <c r="AA22" s="2">
        <f>COUNTIFS(Итальянский_язык!$H$1:$H$1000,5,Итальянский_язык!$N$1:$N$1000,"Победитель",Итальянский_язык!$J$1:$J$1000,"имеются")</f>
        <v>0</v>
      </c>
      <c r="AB22" s="2">
        <f>COUNTIF(Итальянский_язык!$H$1:$H$1000,6)</f>
        <v>0</v>
      </c>
      <c r="AC22" s="169">
        <f>COUNTIFS(Итальянский_язык!$H$1:$H$1000,6,Итальянский_язык!$G$1:$G$1000,"&lt;6")</f>
        <v>0</v>
      </c>
      <c r="AD22" s="169">
        <f>COUNTIFS(Итальянский_язык!$H$1:$H$1000,6,Итальянский_язык!$J$1:$J$1000,"имеются")</f>
        <v>0</v>
      </c>
      <c r="AE22" s="2">
        <f>COUNTIFS(Итальянский_язык!$H$1:$H$1000,6,Итальянский_язык!$N$1:$N$1000,"Призер")</f>
        <v>0</v>
      </c>
      <c r="AF22" s="2">
        <f>COUNTIFS(Итальянский_язык!$H$1:$H$1000,6,Итальянский_язык!$N$1:$N$1000,"Победитель")</f>
        <v>0</v>
      </c>
      <c r="AG22" s="2">
        <f>COUNTIFS(Итальянский_язык!$H$1:$H$1000,6,Итальянский_язык!$N$1:$N$1000,"Победитель",Итальянский_язык!$M$1:$M$1000,"100%")</f>
        <v>0</v>
      </c>
      <c r="AH22" s="2">
        <f>COUNTIFS(Итальянский_язык!$H$1:$H$1000,6,Итальянский_язык!$N$1:$N$1000,"Призер",Итальянский_язык!$J$1:$J$1000,"имеются")</f>
        <v>0</v>
      </c>
      <c r="AI22" s="2">
        <f>COUNTIFS(Итальянский_язык!$H$1:$H$1000,6,Итальянский_язык!$N$1:$N$1000,"Победитель",Итальянский_язык!$J$1:$J$1000,"имеются")</f>
        <v>0</v>
      </c>
      <c r="AJ22" s="2">
        <f>COUNTIF(Итальянский_язык!$H$1:$H$1000,7)</f>
        <v>0</v>
      </c>
      <c r="AK22" s="169">
        <f>COUNTIFS(Итальянский_язык!$H$1:$H$1000,7,Итальянский_язык!$G$1:$G$1000,"&lt;7")</f>
        <v>0</v>
      </c>
      <c r="AL22" s="169">
        <f>COUNTIFS(Итальянский_язык!$H$1:$H$1000,7,Итальянский_язык!$J$1:$J$1000,"имеются")</f>
        <v>0</v>
      </c>
      <c r="AM22" s="2">
        <f>COUNTIFS(Итальянский_язык!$H$1:$H$1000,7,Итальянский_язык!$N$1:$N$1000,"Призер")</f>
        <v>0</v>
      </c>
      <c r="AN22" s="2">
        <f>COUNTIFS(Итальянский_язык!$H$1:$H$1000,7,Итальянский_язык!$N$1:$N$1000,"Победитель")</f>
        <v>0</v>
      </c>
      <c r="AO22" s="2">
        <f>COUNTIFS(Итальянский_язык!$H$1:$H$1000,7,Итальянский_язык!$N$1:$N$1000,"Победитель",Итальянский_язык!$M$1:$M$1000,"100%")</f>
        <v>0</v>
      </c>
      <c r="AP22" s="2">
        <f>COUNTIFS(Итальянский_язык!$H$1:$H$1000,7,Итальянский_язык!$N$1:$N$1000,"Призер",Итальянский_язык!$J$1:$J$1000,"имеются")</f>
        <v>0</v>
      </c>
      <c r="AQ22" s="2">
        <f>COUNTIFS(Итальянский_язык!$H$1:$H$1000,7,Итальянский_язык!$N$1:$N$1000,"Победитель",Итальянский_язык!$J$1:$J$1000,"имеются")</f>
        <v>0</v>
      </c>
      <c r="AR22" s="2">
        <f>COUNTIF(Итальянский_язык!$H$1:$H$1000,8)</f>
        <v>0</v>
      </c>
      <c r="AS22" s="169">
        <f>COUNTIFS(Итальянский_язык!$H$1:$H$1000,8,Итальянский_язык!$G$1:$G$1000,"&lt;8")</f>
        <v>0</v>
      </c>
      <c r="AT22" s="169">
        <f>COUNTIFS(Итальянский_язык!$H$1:$H$1000,8,Итальянский_язык!$J$1:$J$1000,"имеются")</f>
        <v>0</v>
      </c>
      <c r="AU22" s="2">
        <f>COUNTIFS(Итальянский_язык!$H$1:$H$1000,8,Итальянский_язык!$N$1:$N$1000,"Призер")</f>
        <v>0</v>
      </c>
      <c r="AV22" s="2">
        <f>COUNTIFS(Итальянский_язык!$H$1:$H$1000,8,Итальянский_язык!$N$1:$N$1000,"Победитель")</f>
        <v>0</v>
      </c>
      <c r="AW22" s="2">
        <f>COUNTIFS(Итальянский_язык!$H$1:$H$1000,8,Итальянский_язык!$N$1:$N$1000,"Победитель",Итальянский_язык!$M$1:$M$1000,"100%")</f>
        <v>0</v>
      </c>
      <c r="AX22" s="2">
        <f>COUNTIFS(Итальянский_язык!$H$1:$H$1000,8,Итальянский_язык!$N$1:$N$1000,"Призер",Итальянский_язык!$J$1:$J$1000,"имеются")</f>
        <v>0</v>
      </c>
      <c r="AY22" s="2">
        <f>COUNTIFS(Итальянский_язык!$H$1:$H$1000,8,Итальянский_язык!$N$1:$N$1000,"Победитель",Итальянский_язык!$J$1:$J$1000,"имеются")</f>
        <v>0</v>
      </c>
      <c r="AZ22" s="2">
        <f>COUNTIF(Итальянский_язык!$H$1:$H$1000,9)</f>
        <v>0</v>
      </c>
      <c r="BA22" s="169">
        <f>COUNTIFS(Итальянский_язык!$H$1:$H$1000,9,Итальянский_язык!$G$1:$G$1000,"&lt;9")</f>
        <v>0</v>
      </c>
      <c r="BB22" s="169">
        <f>COUNTIFS(Итальянский_язык!$H$1:$H$1000,9,Итальянский_язык!$J$1:$J$1000,"имеются")</f>
        <v>0</v>
      </c>
      <c r="BC22" s="2">
        <f>COUNTIFS(Итальянский_язык!$H$1:$H$1000,9,Итальянский_язык!$N$1:$N$1000,"Призер")</f>
        <v>0</v>
      </c>
      <c r="BD22" s="2">
        <f>COUNTIFS(Итальянский_язык!$H$1:$H$1000,9,Итальянский_язык!$N$1:$N$1000,"Победитель")</f>
        <v>0</v>
      </c>
      <c r="BE22" s="2">
        <f>COUNTIFS(Итальянский_язык!$H$1:$H$1000,9,Итальянский_язык!$N$1:$N$1000,"Победитель",Итальянский_язык!$M$1:$M$1000,"100%")</f>
        <v>0</v>
      </c>
      <c r="BF22" s="2">
        <f>COUNTIFS(Итальянский_язык!$H$1:$H$1000,9,Итальянский_язык!$N$1:$N$1000,"Призер",Итальянский_язык!$J$1:$J$1000,"имеются")</f>
        <v>0</v>
      </c>
      <c r="BG22" s="2">
        <f>COUNTIFS(Итальянский_язык!$H$1:$H$1000,9,Итальянский_язык!$N$1:$N$1000,"Победитель",Итальянский_язык!$J$1:$J$1000,"имеются")</f>
        <v>0</v>
      </c>
      <c r="BH22" s="2">
        <f>COUNTIF(Итальянский_язык!$H$1:$H$1000,10)</f>
        <v>0</v>
      </c>
      <c r="BI22" s="169">
        <f>COUNTIFS(Итальянский_язык!$H$1:$H$1000,10,Итальянский_язык!$G$1:$G$1000,"&lt;10")</f>
        <v>0</v>
      </c>
      <c r="BJ22" s="169">
        <f>COUNTIFS(Итальянский_язык!$H$1:$H$1000,10,Итальянский_язык!$J$1:$J$1000,"имеются")</f>
        <v>0</v>
      </c>
      <c r="BK22" s="2">
        <f>COUNTIFS(Итальянский_язык!$H$1:$H$1000,10,Итальянский_язык!$N$1:$N$1000,"Призер")</f>
        <v>0</v>
      </c>
      <c r="BL22" s="2">
        <f>COUNTIFS(Итальянский_язык!$H$1:$H$1000,10,Итальянский_язык!$N$1:$N$1000,"Победитель")</f>
        <v>0</v>
      </c>
      <c r="BM22" s="2">
        <f>COUNTIFS(Итальянский_язык!$H$1:$H$1000,10,Итальянский_язык!$N$1:$N$1000,"Победитель",Итальянский_язык!$M$1:$M$1000,"100%")</f>
        <v>0</v>
      </c>
      <c r="BN22" s="2">
        <f>COUNTIFS(Итальянский_язык!$H$1:$H$1000,10,Итальянский_язык!$N$1:$N$1000,"Призер",Итальянский_язык!$J$1:$J$1000,"имеются")</f>
        <v>0</v>
      </c>
      <c r="BO22" s="2">
        <f>COUNTIFS(Итальянский_язык!$H$1:$H$1000,10,Итальянский_язык!$N$1:$N$1000,"Победитель",Итальянский_язык!$J$1:$J$1000,"имеются")</f>
        <v>0</v>
      </c>
      <c r="BP22" s="2">
        <f>COUNTIF(Итальянский_язык!$H$1:$H$1000,11)</f>
        <v>0</v>
      </c>
      <c r="BQ22" s="169">
        <f>COUNTIFS(Итальянский_язык!$H$1:$H$1000,11,Итальянский_язык!$G$1:$G$1000,"&lt;11")</f>
        <v>0</v>
      </c>
      <c r="BR22" s="169">
        <f>COUNTIFS(Итальянский_язык!$H$1:$H$1000,11,Итальянский_язык!$J$1:$J$1000,"имеются")</f>
        <v>0</v>
      </c>
      <c r="BS22" s="2">
        <f>COUNTIFS(Итальянский_язык!$H$1:$H$1000,11,Итальянский_язык!$N$1:$N$1000,"Призер")</f>
        <v>0</v>
      </c>
      <c r="BT22" s="2">
        <f>COUNTIFS(Итальянский_язык!$H$1:$H$1000,11,Итальянский_язык!$N$1:$N$1000,"Победитель")</f>
        <v>0</v>
      </c>
      <c r="BU22" s="2">
        <f>COUNTIFS(Итальянский_язык!$H$1:$H$1000,11,Итальянский_язык!$N$1:$N$1000,"Победитель",Итальянский_язык!$M$1:$M$1000,"100%")</f>
        <v>0</v>
      </c>
      <c r="BV22" s="2">
        <f>COUNTIFS(Итальянский_язык!$H$1:$H$1000,11,Итальянский_язык!$N$1:$N$1000,"Призер",Итальянский_язык!$J$1:$J$1000,"имеются")</f>
        <v>0</v>
      </c>
      <c r="BW22" s="2">
        <f>COUNTIFS(Итальянский_язык!$H$1:$H$1000,11,Итальянский_язык!$N$1:$N$1000,"Победитель",Итальянский_язык!$J$1:$J$1000,"имеются")</f>
        <v>0</v>
      </c>
      <c r="BX22" s="100" t="e">
        <f t="shared" si="1"/>
        <v>#DIV/0!</v>
      </c>
    </row>
    <row r="23" spans="1:76">
      <c r="A23" s="34">
        <v>10</v>
      </c>
      <c r="B23" s="32" t="s">
        <v>87</v>
      </c>
      <c r="C23" s="15">
        <f t="shared" si="0"/>
        <v>0</v>
      </c>
      <c r="D23" s="2">
        <f t="shared" si="2"/>
        <v>0</v>
      </c>
      <c r="E23" s="2">
        <f t="shared" si="3"/>
        <v>0</v>
      </c>
      <c r="F23" s="2">
        <f t="shared" si="4"/>
        <v>0</v>
      </c>
      <c r="G23" s="2">
        <f>IF(SUM(W23,AE23,AM23,AU23,BC23,BK23,BS23)&lt;&gt;COUNTIF(Китайский_язык!$N$1:$N$1000,"Призер"),"Ошибка",SUM(W23,AE23,AM23,AU23,BC23,BK23,BS23))</f>
        <v>0</v>
      </c>
      <c r="H23" s="2">
        <f>IF(SUM(X23,AF23,AN23,AV23,BD23,BL23,BT23)&lt;&gt;COUNTIF(Китайский_язык!$N$1:$N$1000,"Победитель"),"Ошибка",SUM(X23,AF23,AN23,AV23,BD23,BL23,BT23))</f>
        <v>0</v>
      </c>
      <c r="I23" s="2">
        <f t="shared" si="5"/>
        <v>0</v>
      </c>
      <c r="J23" s="2">
        <f t="shared" si="6"/>
        <v>0</v>
      </c>
      <c r="K23" s="2">
        <f t="shared" si="7"/>
        <v>0</v>
      </c>
      <c r="L23" s="2"/>
      <c r="M23" s="2"/>
      <c r="N23" s="2"/>
      <c r="O23" s="2"/>
      <c r="P23" s="2"/>
      <c r="Q23" s="2"/>
      <c r="R23" s="2"/>
      <c r="S23" s="2"/>
      <c r="T23" s="2">
        <f>COUNTIF(Китайский_язык!$H$1:$H$1000,5)</f>
        <v>0</v>
      </c>
      <c r="U23" s="169">
        <f>COUNTIFS(Китайский_язык!$H$1:$H$1000,5,Китайский_язык!$G$1:$G$1000,"&lt;5")</f>
        <v>0</v>
      </c>
      <c r="V23" s="169">
        <f>COUNTIFS(Китайский_язык!$H$1:$H$1000,5,Китайский_язык!$J$1:$J$1000,"имеются")</f>
        <v>0</v>
      </c>
      <c r="W23" s="2">
        <f>COUNTIFS(Китайский_язык!$H$1:$H$1000,5,Китайский_язык!$N$1:$N$1000,"Призер")</f>
        <v>0</v>
      </c>
      <c r="X23" s="2">
        <f>COUNTIFS(Китайский_язык!$H$1:$H$1000,5,Китайский_язык!$N$1:$N$1000,"Победитель")</f>
        <v>0</v>
      </c>
      <c r="Y23" s="2">
        <f>COUNTIFS(Китайский_язык!$H$1:$H$1000,5,Китайский_язык!$N$1:$N$1000,"Победитель",Китайский_язык!$M$1:$M$1000,"100%")</f>
        <v>0</v>
      </c>
      <c r="Z23" s="2">
        <f>COUNTIFS(Китайский_язык!$H$1:$H$1000,5,Китайский_язык!$N$1:$N$1000,"Призер",Китайский_язык!$J$1:$J$1000,"имеются")</f>
        <v>0</v>
      </c>
      <c r="AA23" s="2">
        <f>COUNTIFS(Китайский_язык!$H$1:$H$1000,5,Китайский_язык!$N$1:$N$1000,"Победитель",Китайский_язык!$J$1:$J$1000,"имеются")</f>
        <v>0</v>
      </c>
      <c r="AB23" s="2">
        <f>COUNTIF(Китайский_язык!$H$1:$H$1000,6)</f>
        <v>0</v>
      </c>
      <c r="AC23" s="169">
        <f>COUNTIFS(Китайский_язык!$H$1:$H$1000,6,Китайский_язык!$G$1:$G$1000,"&lt;6")</f>
        <v>0</v>
      </c>
      <c r="AD23" s="169">
        <f>COUNTIFS(Китайский_язык!$H$1:$H$1000,6,Китайский_язык!$J$1:$J$1000,"имеются")</f>
        <v>0</v>
      </c>
      <c r="AE23" s="2">
        <f>COUNTIFS(Китайский_язык!$H$1:$H$1000,6,Китайский_язык!$N$1:$N$1000,"Призер")</f>
        <v>0</v>
      </c>
      <c r="AF23" s="2">
        <f>COUNTIFS(Китайский_язык!$H$1:$H$1000,6,Китайский_язык!$N$1:$N$1000,"Победитель")</f>
        <v>0</v>
      </c>
      <c r="AG23" s="2">
        <f>COUNTIFS(Китайский_язык!$H$1:$H$1000,6,Китайский_язык!$N$1:$N$1000,"Победитель",Китайский_язык!$M$1:$M$1000,"100%")</f>
        <v>0</v>
      </c>
      <c r="AH23" s="2">
        <f>COUNTIFS(Китайский_язык!$H$1:$H$1000,6,Китайский_язык!$N$1:$N$1000,"Призер",Китайский_язык!$J$1:$J$1000,"имеются")</f>
        <v>0</v>
      </c>
      <c r="AI23" s="2">
        <f>COUNTIFS(Китайский_язык!$H$1:$H$1000,6,Китайский_язык!$N$1:$N$1000,"Победитель",Китайский_язык!$J$1:$J$1000,"имеются")</f>
        <v>0</v>
      </c>
      <c r="AJ23" s="2">
        <f>COUNTIF(Китайский_язык!$H$1:$H$1000,7)</f>
        <v>0</v>
      </c>
      <c r="AK23" s="169">
        <f>COUNTIFS(Китайский_язык!$H$1:$H$1000,7,Китайский_язык!$G$1:$G$1000,"&lt;7")</f>
        <v>0</v>
      </c>
      <c r="AL23" s="169">
        <f>COUNTIFS(Китайский_язык!$H$1:$H$1000,7,Китайский_язык!$J$1:$J$1000,"имеются")</f>
        <v>0</v>
      </c>
      <c r="AM23" s="2">
        <f>COUNTIFS(Китайский_язык!$H$1:$H$1000,7,Китайский_язык!$N$1:$N$1000,"Призер")</f>
        <v>0</v>
      </c>
      <c r="AN23" s="2">
        <f>COUNTIFS(Китайский_язык!$H$1:$H$1000,7,Китайский_язык!$N$1:$N$1000,"Победитель")</f>
        <v>0</v>
      </c>
      <c r="AO23" s="2">
        <f>COUNTIFS(Китайский_язык!$H$1:$H$1000,7,Китайский_язык!$N$1:$N$1000,"Победитель",Китайский_язык!$M$1:$M$1000,"100%")</f>
        <v>0</v>
      </c>
      <c r="AP23" s="2">
        <f>COUNTIFS(Китайский_язык!$H$1:$H$1000,7,Китайский_язык!$N$1:$N$1000,"Призер",Китайский_язык!$J$1:$J$1000,"имеются")</f>
        <v>0</v>
      </c>
      <c r="AQ23" s="2">
        <f>COUNTIFS(Китайский_язык!$H$1:$H$1000,7,Китайский_язык!$N$1:$N$1000,"Победитель",Китайский_язык!$J$1:$J$1000,"имеются")</f>
        <v>0</v>
      </c>
      <c r="AR23" s="2">
        <f>COUNTIF(Китайский_язык!$H$1:$H$1000,8)</f>
        <v>0</v>
      </c>
      <c r="AS23" s="169">
        <f>COUNTIFS(Китайский_язык!$H$1:$H$1000,8,Китайский_язык!$G$1:$G$1000,"&lt;8")</f>
        <v>0</v>
      </c>
      <c r="AT23" s="169">
        <f>COUNTIFS(Китайский_язык!$H$1:$H$1000,8,Китайский_язык!$J$1:$J$1000,"имеются")</f>
        <v>0</v>
      </c>
      <c r="AU23" s="2">
        <f>COUNTIFS(Китайский_язык!$H$1:$H$1000,8,Китайский_язык!$N$1:$N$1000,"Призер")</f>
        <v>0</v>
      </c>
      <c r="AV23" s="2">
        <f>COUNTIFS(Китайский_язык!$H$1:$H$1000,8,Китайский_язык!$N$1:$N$1000,"Победитель")</f>
        <v>0</v>
      </c>
      <c r="AW23" s="2">
        <f>COUNTIFS(Китайский_язык!$H$1:$H$1000,8,Китайский_язык!$N$1:$N$1000,"Победитель",Китайский_язык!$M$1:$M$1000,"100%")</f>
        <v>0</v>
      </c>
      <c r="AX23" s="2">
        <f>COUNTIFS(Китайский_язык!$H$1:$H$1000,8,Китайский_язык!$N$1:$N$1000,"Призер",Китайский_язык!$J$1:$J$1000,"имеются")</f>
        <v>0</v>
      </c>
      <c r="AY23" s="2">
        <f>COUNTIFS(Китайский_язык!$H$1:$H$1000,8,Китайский_язык!$N$1:$N$1000,"Победитель",Китайский_язык!$J$1:$J$1000,"имеются")</f>
        <v>0</v>
      </c>
      <c r="AZ23" s="2">
        <f>COUNTIF(Китайский_язык!$H$1:$H$1000,9)</f>
        <v>0</v>
      </c>
      <c r="BA23" s="169">
        <f>COUNTIFS(Китайский_язык!$H$1:$H$1000,9,Китайский_язык!$G$1:$G$1000,"&lt;9")</f>
        <v>0</v>
      </c>
      <c r="BB23" s="169">
        <f>COUNTIFS(Китайский_язык!$H$1:$H$1000,9,Китайский_язык!$J$1:$J$1000,"имеются")</f>
        <v>0</v>
      </c>
      <c r="BC23" s="2">
        <f>COUNTIFS(Китайский_язык!$H$1:$H$1000,9,Китайский_язык!$N$1:$N$1000,"Призер")</f>
        <v>0</v>
      </c>
      <c r="BD23" s="2">
        <f>COUNTIFS(Китайский_язык!$H$1:$H$1000,9,Китайский_язык!$N$1:$N$1000,"Победитель")</f>
        <v>0</v>
      </c>
      <c r="BE23" s="2">
        <f>COUNTIFS(Китайский_язык!$H$1:$H$1000,9,Китайский_язык!$N$1:$N$1000,"Победитель",Китайский_язык!$M$1:$M$1000,"100%")</f>
        <v>0</v>
      </c>
      <c r="BF23" s="2">
        <f>COUNTIFS(Китайский_язык!$H$1:$H$1000,9,Китайский_язык!$N$1:$N$1000,"Призер",Китайский_язык!$J$1:$J$1000,"имеются")</f>
        <v>0</v>
      </c>
      <c r="BG23" s="2">
        <f>COUNTIFS(Китайский_язык!$H$1:$H$1000,9,Китайский_язык!$N$1:$N$1000,"Победитель",Китайский_язык!$J$1:$J$1000,"имеются")</f>
        <v>0</v>
      </c>
      <c r="BH23" s="2">
        <f>COUNTIF(Китайский_язык!$H$1:$H$1000,10)</f>
        <v>0</v>
      </c>
      <c r="BI23" s="169">
        <f>COUNTIFS(Китайский_язык!$H$1:$H$1000,10,Китайский_язык!$G$1:$G$1000,"&lt;10")</f>
        <v>0</v>
      </c>
      <c r="BJ23" s="169">
        <f>COUNTIFS(Китайский_язык!$H$1:$H$1000,10,Китайский_язык!$J$1:$J$1000,"имеются")</f>
        <v>0</v>
      </c>
      <c r="BK23" s="2">
        <f>COUNTIFS(Китайский_язык!$H$1:$H$1000,10,Китайский_язык!$N$1:$N$1000,"Призер")</f>
        <v>0</v>
      </c>
      <c r="BL23" s="2">
        <f>COUNTIFS(Китайский_язык!$H$1:$H$1000,10,Китайский_язык!$N$1:$N$1000,"Победитель")</f>
        <v>0</v>
      </c>
      <c r="BM23" s="2">
        <f>COUNTIFS(Китайский_язык!$H$1:$H$1000,10,Китайский_язык!$N$1:$N$1000,"Победитель",Китайский_язык!$M$1:$M$1000,"100%")</f>
        <v>0</v>
      </c>
      <c r="BN23" s="2">
        <f>COUNTIFS(Китайский_язык!$H$1:$H$1000,10,Китайский_язык!$N$1:$N$1000,"Призер",Китайский_язык!$J$1:$J$1000,"имеются")</f>
        <v>0</v>
      </c>
      <c r="BO23" s="2">
        <f>COUNTIFS(Китайский_язык!$H$1:$H$1000,10,Китайский_язык!$N$1:$N$1000,"Победитель",Китайский_язык!$J$1:$J$1000,"имеются")</f>
        <v>0</v>
      </c>
      <c r="BP23" s="2">
        <f>COUNTIF(Китайский_язык!$H$1:$H$1000,11)</f>
        <v>0</v>
      </c>
      <c r="BQ23" s="169">
        <f>COUNTIFS(Китайский_язык!$H$1:$H$1000,11,Китайский_язык!$G$1:$G$1000,"&lt;11")</f>
        <v>0</v>
      </c>
      <c r="BR23" s="169">
        <f>COUNTIFS(Китайский_язык!$H$1:$H$1000,11,Китайский_язык!$J$1:$J$1000,"имеются")</f>
        <v>0</v>
      </c>
      <c r="BS23" s="2">
        <f>COUNTIFS(Китайский_язык!$H$1:$H$1000,11,Китайский_язык!$N$1:$N$1000,"Призер")</f>
        <v>0</v>
      </c>
      <c r="BT23" s="2">
        <f>COUNTIFS(Китайский_язык!$H$1:$H$1000,11,Китайский_язык!$N$1:$N$1000,"Победитель")</f>
        <v>0</v>
      </c>
      <c r="BU23" s="2">
        <f>COUNTIFS(Китайский_язык!$H$1:$H$1000,11,Китайский_язык!$N$1:$N$1000,"Победитель",Китайский_язык!$M$1:$M$1000,"100%")</f>
        <v>0</v>
      </c>
      <c r="BV23" s="2">
        <f>COUNTIFS(Китайский_язык!$H$1:$H$1000,11,Китайский_язык!$N$1:$N$1000,"Призер",Китайский_язык!$J$1:$J$1000,"имеются")</f>
        <v>0</v>
      </c>
      <c r="BW23" s="2">
        <f>COUNTIFS(Китайский_язык!$H$1:$H$1000,11,Китайский_язык!$N$1:$N$1000,"Победитель",Китайский_язык!$J$1:$J$1000,"имеются")</f>
        <v>0</v>
      </c>
      <c r="BX23" s="100" t="e">
        <f t="shared" si="1"/>
        <v>#DIV/0!</v>
      </c>
    </row>
    <row r="24" spans="1:76">
      <c r="A24" s="34">
        <v>11</v>
      </c>
      <c r="B24" s="32" t="s">
        <v>22</v>
      </c>
      <c r="C24" s="15">
        <f t="shared" si="0"/>
        <v>1</v>
      </c>
      <c r="D24" s="2">
        <f t="shared" si="2"/>
        <v>24</v>
      </c>
      <c r="E24" s="2">
        <f t="shared" si="3"/>
        <v>0</v>
      </c>
      <c r="F24" s="2">
        <f t="shared" si="4"/>
        <v>0</v>
      </c>
      <c r="G24" s="2">
        <f>IF(SUM(W24,AE24,AM24,AU24,BC24,BK24,BS24)&lt;&gt;COUNTIF(Литература!$N$1:$N$1000,"Призер"),"Ошибка",SUM(W24,AE24,AM24,AU24,BC24,BK24,BS24))</f>
        <v>3</v>
      </c>
      <c r="H24" s="2">
        <f>IF(SUM(X24,AF24,AN24,AV24,BD24,BL24,BT24)&lt;&gt;COUNTIF(Литература!$N$1:$N$1000,"Победитель"),"Ошибка",SUM(X24,AF24,AN24,AV24,BD24,BL24,BT24))</f>
        <v>2</v>
      </c>
      <c r="I24" s="2">
        <f t="shared" si="5"/>
        <v>0</v>
      </c>
      <c r="J24" s="2">
        <f t="shared" si="6"/>
        <v>0</v>
      </c>
      <c r="K24" s="2">
        <f t="shared" si="7"/>
        <v>0</v>
      </c>
      <c r="L24" s="2"/>
      <c r="M24" s="2"/>
      <c r="N24" s="2"/>
      <c r="O24" s="2"/>
      <c r="P24" s="2"/>
      <c r="Q24" s="2"/>
      <c r="R24" s="2"/>
      <c r="S24" s="2"/>
      <c r="T24" s="2">
        <f>COUNTIF(Литература!$H$1:$H$1000,5)</f>
        <v>0</v>
      </c>
      <c r="U24" s="169">
        <f>COUNTIFS(Литература!$H$1:$H$1000,5,Литература!$G$1:$G$1000,"&lt;5")</f>
        <v>0</v>
      </c>
      <c r="V24" s="169">
        <f>COUNTIFS(Литература!$H$1:$H$1000,5,Литература!$J$1:$J$1000,"имеются")</f>
        <v>0</v>
      </c>
      <c r="W24" s="2">
        <f>COUNTIFS(Литература!$H$1:$H$1000,5,Литература!$N$1:$N$1000,"Призер")</f>
        <v>0</v>
      </c>
      <c r="X24" s="2">
        <f>COUNTIFS(Литература!$H$1:$H$1000,5,Литература!$N$1:$N$1000,"Победитель")</f>
        <v>0</v>
      </c>
      <c r="Y24" s="2">
        <f>COUNTIFS(Литература!$H$1:$H$1000,5,Литература!$N$1:$N$1000,"Победитель",Литература!$M$1:$M$1000,"100%")</f>
        <v>0</v>
      </c>
      <c r="Z24" s="2">
        <f>COUNTIFS(Литература!$H$1:$H$1000,5,Литература!$N$1:$N$1000,"Призер",Литература!$J$1:$J$1000,"имеются")</f>
        <v>0</v>
      </c>
      <c r="AA24" s="2">
        <f>COUNTIFS(Литература!$H$1:$H$1000,5,Литература!$N$1:$N$1000,"Победитель",Литература!$J$1:$J$1000,"имеются")</f>
        <v>0</v>
      </c>
      <c r="AB24" s="2">
        <f>COUNTIF(Литература!$H$1:$H$1000,6)</f>
        <v>3</v>
      </c>
      <c r="AC24" s="169">
        <f>COUNTIFS(Литература!$H$1:$H$1000,6,Литература!$G$1:$G$1000,"&lt;6")</f>
        <v>0</v>
      </c>
      <c r="AD24" s="169">
        <f>COUNTIFS(Литература!$H$1:$H$1000,6,Литература!$J$1:$J$1000,"имеются")</f>
        <v>0</v>
      </c>
      <c r="AE24" s="2">
        <f>COUNTIFS(Литература!$H$1:$H$1000,6,Литература!$N$1:$N$1000,"Призер")</f>
        <v>0</v>
      </c>
      <c r="AF24" s="2">
        <f>COUNTIFS(Литература!$H$1:$H$1000,6,Литература!$N$1:$N$1000,"Победитель")</f>
        <v>0</v>
      </c>
      <c r="AG24" s="2">
        <f>COUNTIFS(Литература!$H$1:$H$1000,6,Литература!$N$1:$N$1000,"Победитель",Литература!$M$1:$M$1000,"100%")</f>
        <v>0</v>
      </c>
      <c r="AH24" s="2">
        <f>COUNTIFS(Литература!$H$1:$H$1000,6,Литература!$N$1:$N$1000,"Призер",Литература!$J$1:$J$1000,"имеются")</f>
        <v>0</v>
      </c>
      <c r="AI24" s="2">
        <f>COUNTIFS(Литература!$H$1:$H$1000,6,Литература!$N$1:$N$1000,"Победитель",Литература!$J$1:$J$1000,"имеются")</f>
        <v>0</v>
      </c>
      <c r="AJ24" s="2">
        <f>COUNTIF(Литература!$H$1:$H$1000,7)</f>
        <v>1</v>
      </c>
      <c r="AK24" s="169">
        <f>COUNTIFS(Литература!$H$1:$H$1000,7,Литература!$G$1:$G$1000,"&lt;7")</f>
        <v>0</v>
      </c>
      <c r="AL24" s="169">
        <f>COUNTIFS(Литература!$H$1:$H$1000,7,Литература!$J$1:$J$1000,"имеются")</f>
        <v>0</v>
      </c>
      <c r="AM24" s="2">
        <f>COUNTIFS(Литература!$H$1:$H$1000,7,Литература!$N$1:$N$1000,"Призер")</f>
        <v>0</v>
      </c>
      <c r="AN24" s="2">
        <f>COUNTIFS(Литература!$H$1:$H$1000,7,Литература!$N$1:$N$1000,"Победитель")</f>
        <v>0</v>
      </c>
      <c r="AO24" s="2">
        <f>COUNTIFS(Литература!$H$1:$H$1000,7,Литература!$N$1:$N$1000,"Победитель",Литература!$M$1:$M$1000,"100%")</f>
        <v>0</v>
      </c>
      <c r="AP24" s="2">
        <f>COUNTIFS(Литература!$H$1:$H$1000,7,Литература!$N$1:$N$1000,"Призер",Литература!$J$1:$J$1000,"имеются")</f>
        <v>0</v>
      </c>
      <c r="AQ24" s="2">
        <f>COUNTIFS(Литература!$H$1:$H$1000,7,Литература!$N$1:$N$1000,"Победитель",Литература!$J$1:$J$1000,"имеются")</f>
        <v>0</v>
      </c>
      <c r="AR24" s="2">
        <f>COUNTIF(Литература!$H$1:$H$1000,8)</f>
        <v>7</v>
      </c>
      <c r="AS24" s="169">
        <f>COUNTIFS(Литература!$H$1:$H$1000,8,Литература!$G$1:$G$1000,"&lt;8")</f>
        <v>0</v>
      </c>
      <c r="AT24" s="169">
        <f>COUNTIFS(Литература!$H$1:$H$1000,8,Литература!$J$1:$J$1000,"имеются")</f>
        <v>0</v>
      </c>
      <c r="AU24" s="2">
        <f>COUNTIFS(Литература!$H$1:$H$1000,8,Литература!$N$1:$N$1000,"Призер")</f>
        <v>1</v>
      </c>
      <c r="AV24" s="2">
        <f>COUNTIFS(Литература!$H$1:$H$1000,8,Литература!$N$1:$N$1000,"Победитель")</f>
        <v>0</v>
      </c>
      <c r="AW24" s="2">
        <f>COUNTIFS(Литература!$H$1:$H$1000,8,Литература!$N$1:$N$1000,"Победитель",Литература!$M$1:$M$1000,"100%")</f>
        <v>0</v>
      </c>
      <c r="AX24" s="2">
        <f>COUNTIFS(Литература!$H$1:$H$1000,8,Литература!$N$1:$N$1000,"Призер",Литература!$J$1:$J$1000,"имеются")</f>
        <v>0</v>
      </c>
      <c r="AY24" s="2">
        <f>COUNTIFS(Литература!$H$1:$H$1000,8,Литература!$N$1:$N$1000,"Победитель",Литература!$J$1:$J$1000,"имеются")</f>
        <v>0</v>
      </c>
      <c r="AZ24" s="2">
        <f>COUNTIF(Литература!$H$1:$H$1000,9)</f>
        <v>7</v>
      </c>
      <c r="BA24" s="169">
        <f>COUNTIFS(Литература!$H$1:$H$1000,9,Литература!$G$1:$G$1000,"&lt;9")</f>
        <v>0</v>
      </c>
      <c r="BB24" s="169">
        <f>COUNTIFS(Литература!$H$1:$H$1000,9,Литература!$J$1:$J$1000,"имеются")</f>
        <v>0</v>
      </c>
      <c r="BC24" s="2">
        <f>COUNTIFS(Литература!$H$1:$H$1000,9,Литература!$N$1:$N$1000,"Призер")</f>
        <v>1</v>
      </c>
      <c r="BD24" s="2">
        <f>COUNTIFS(Литература!$H$1:$H$1000,9,Литература!$N$1:$N$1000,"Победитель")</f>
        <v>1</v>
      </c>
      <c r="BE24" s="2">
        <f>COUNTIFS(Литература!$H$1:$H$1000,9,Литература!$N$1:$N$1000,"Победитель",Литература!$M$1:$M$1000,"100%")</f>
        <v>0</v>
      </c>
      <c r="BF24" s="2">
        <f>COUNTIFS(Литература!$H$1:$H$1000,9,Литература!$N$1:$N$1000,"Призер",Литература!$J$1:$J$1000,"имеются")</f>
        <v>0</v>
      </c>
      <c r="BG24" s="2">
        <f>COUNTIFS(Литература!$H$1:$H$1000,9,Литература!$N$1:$N$1000,"Победитель",Литература!$J$1:$J$1000,"имеются")</f>
        <v>0</v>
      </c>
      <c r="BH24" s="2">
        <f>COUNTIF(Литература!$H$1:$H$1000,10)</f>
        <v>0</v>
      </c>
      <c r="BI24" s="169">
        <f>COUNTIFS(Литература!$H$1:$H$1000,10,Литература!$G$1:$G$1000,"&lt;10")</f>
        <v>0</v>
      </c>
      <c r="BJ24" s="169">
        <f>COUNTIFS(Литература!$H$1:$H$1000,10,Литература!$J$1:$J$1000,"имеются")</f>
        <v>0</v>
      </c>
      <c r="BK24" s="2">
        <f>COUNTIFS(Литература!$H$1:$H$1000,10,Литература!$N$1:$N$1000,"Призер")</f>
        <v>0</v>
      </c>
      <c r="BL24" s="2">
        <f>COUNTIFS(Литература!$H$1:$H$1000,10,Литература!$N$1:$N$1000,"Победитель")</f>
        <v>0</v>
      </c>
      <c r="BM24" s="2">
        <f>COUNTIFS(Литература!$H$1:$H$1000,10,Литература!$N$1:$N$1000,"Победитель",Литература!$M$1:$M$1000,"100%")</f>
        <v>0</v>
      </c>
      <c r="BN24" s="2">
        <f>COUNTIFS(Литература!$H$1:$H$1000,10,Литература!$N$1:$N$1000,"Призер",Литература!$J$1:$J$1000,"имеются")</f>
        <v>0</v>
      </c>
      <c r="BO24" s="2">
        <f>COUNTIFS(Литература!$H$1:$H$1000,10,Литература!$N$1:$N$1000,"Победитель",Литература!$J$1:$J$1000,"имеются")</f>
        <v>0</v>
      </c>
      <c r="BP24" s="2">
        <f>COUNTIF(Литература!$H$1:$H$1000,11)</f>
        <v>6</v>
      </c>
      <c r="BQ24" s="169">
        <f>COUNTIFS(Литература!$H$1:$H$1000,11,Литература!$G$1:$G$1000,"&lt;11")</f>
        <v>0</v>
      </c>
      <c r="BR24" s="169">
        <f>COUNTIFS(Литература!$H$1:$H$1000,11,Литература!$J$1:$J$1000,"имеются")</f>
        <v>0</v>
      </c>
      <c r="BS24" s="2">
        <f>COUNTIFS(Литература!$H$1:$H$1000,11,Литература!$N$1:$N$1000,"Призер")</f>
        <v>1</v>
      </c>
      <c r="BT24" s="2">
        <f>COUNTIFS(Литература!$H$1:$H$1000,11,Литература!$N$1:$N$1000,"Победитель")</f>
        <v>1</v>
      </c>
      <c r="BU24" s="2">
        <f>COUNTIFS(Литература!$H$1:$H$1000,11,Литература!$N$1:$N$1000,"Победитель",Литература!$M$1:$M$1000,"100%")</f>
        <v>0</v>
      </c>
      <c r="BV24" s="2">
        <f>COUNTIFS(Литература!$H$1:$H$1000,11,Литература!$N$1:$N$1000,"Призер",Литература!$J$1:$J$1000,"имеются")</f>
        <v>0</v>
      </c>
      <c r="BW24" s="2">
        <f>COUNTIFS(Литература!$H$1:$H$1000,11,Литература!$N$1:$N$1000,"Победитель",Литература!$J$1:$J$1000,"имеются")</f>
        <v>0</v>
      </c>
      <c r="BX24" s="100">
        <f t="shared" si="1"/>
        <v>0.20833333333333334</v>
      </c>
    </row>
    <row r="25" spans="1:76">
      <c r="A25" s="34">
        <v>12</v>
      </c>
      <c r="B25" s="32" t="s">
        <v>10</v>
      </c>
      <c r="C25" s="15">
        <f t="shared" si="0"/>
        <v>1</v>
      </c>
      <c r="D25" s="2">
        <f>L25+T25+AB25+AJ25+AR25+AZ25+BH25+BP25</f>
        <v>102</v>
      </c>
      <c r="E25" s="2">
        <f>M25+U25+AC25+AK25+AS25+BA25+BI25+BQ25</f>
        <v>0</v>
      </c>
      <c r="F25" s="2">
        <f>N25+V25+AD25+AL25+AT25+BB25+BJ25+BR25</f>
        <v>0</v>
      </c>
      <c r="G25" s="2">
        <f>IF(SUM(O25,W25,AE25,AM25,AU25,BC25,BK25,BS25)&lt;&gt;COUNTIF(Математика!$N$1:$N$1000,"Призер"),"Ошибка",SUM(O25,W25,AE25,AM25,AU25,BC25,BK25,BS25))</f>
        <v>6</v>
      </c>
      <c r="H25" s="2">
        <f>IF(SUM(P25,X25,AF25,AN25,AV25,BD25,BL25,BT25)&lt;&gt;COUNTIF(Математика!$N$1:$N$1000,"Победитель"),"Ошибка",SUM(P25,X25,AF25,AN25,AV25,BD25,BL25,BT25))</f>
        <v>2</v>
      </c>
      <c r="I25" s="2">
        <f>Y25+AG25+AO25+AW25+BE25+BM25+BU25</f>
        <v>0</v>
      </c>
      <c r="J25" s="2">
        <f t="shared" si="6"/>
        <v>0</v>
      </c>
      <c r="K25" s="2">
        <f t="shared" si="7"/>
        <v>0</v>
      </c>
      <c r="L25" s="2">
        <f>COUNTIF(Математика!$H$1:$H$1000,4)</f>
        <v>25</v>
      </c>
      <c r="M25" s="169">
        <f>COUNTIFS(Математика!$H$1:$H$1000,4,Математика!$G$1:$G$1000,"&lt;4")</f>
        <v>0</v>
      </c>
      <c r="N25" s="169">
        <f>COUNTIFS(Математика!$H$1:$H$1000,4,Математика!$J$1:$J$1000,"имеются")</f>
        <v>0</v>
      </c>
      <c r="O25" s="2">
        <f>COUNTIFS(Математика!$H$1:$H$1000,4,Математика!$N$1:$N$1000,"Призер")</f>
        <v>1</v>
      </c>
      <c r="P25" s="2">
        <f>COUNTIFS(Математика!$H$1:$H$1000,4,Математика!$N$1:$N$1000,"Победитель")</f>
        <v>1</v>
      </c>
      <c r="Q25" s="2">
        <f>COUNTIFS(Математика!$H$1:$H$1000,4,Математика!$N$1:$N$1000,"Победитель",Математика!$M$1:$M$1000,"100%")</f>
        <v>0</v>
      </c>
      <c r="R25" s="2">
        <f>COUNTIFS(Математика!$H$1:$H$1000,4,Математика!$N$1:$N$1000,"Призер",Математика!$J$1:$J$1000,"имеются")</f>
        <v>0</v>
      </c>
      <c r="S25" s="2">
        <f>COUNTIFS(Математика!$H$1:$H$1000,4,Математика!$N$1:$N$1000,"Победитель",Математика!$J$1:$J$1000,"имеются")</f>
        <v>0</v>
      </c>
      <c r="T25" s="2">
        <f>COUNTIF(Математика!$H$1:$H$1000,5)</f>
        <v>14</v>
      </c>
      <c r="U25" s="169">
        <f>COUNTIFS(Математика!$H$1:$H$1000,5,Математика!$G$1:$G$1000,"&lt;5")</f>
        <v>0</v>
      </c>
      <c r="V25" s="169">
        <f>COUNTIFS(Математика!$H$1:$H$1000,5,Математика!$J$1:$J$1000,"имеются")</f>
        <v>0</v>
      </c>
      <c r="W25" s="2">
        <f>COUNTIFS(Математика!$H$1:$H$1000,5,Математика!$N$1:$N$1000,"Призер")</f>
        <v>2</v>
      </c>
      <c r="X25" s="2">
        <f>COUNTIFS(Математика!$H$1:$H$1000,5,Математика!$N$1:$N$1000,"Победитель")</f>
        <v>1</v>
      </c>
      <c r="Y25" s="2">
        <f>COUNTIFS(Математика!$H$1:$H$1000,5,Математика!$N$1:$N$1000,"Победитель",Математика!$M$1:$M$1000,"100%")</f>
        <v>0</v>
      </c>
      <c r="Z25" s="2">
        <f>COUNTIFS(Математика!$H$1:$H$1000,5,Математика!$N$1:$N$1000,"Призер",Математика!$J$1:$J$1000,"имеются")</f>
        <v>0</v>
      </c>
      <c r="AA25" s="2">
        <f>COUNTIFS(Математика!$H$1:$H$1000,5,Математика!$N$1:$N$1000,"Победитель",Математика!$J$1:$J$1000,"имеются")</f>
        <v>0</v>
      </c>
      <c r="AB25" s="2">
        <f>COUNTIF(Математика!$H$1:$H$1000,6)</f>
        <v>7</v>
      </c>
      <c r="AC25" s="169">
        <f>COUNTIFS(Математика!$H$1:$H$1000,6,Математика!$G$1:$G$1000,"&lt;6")</f>
        <v>0</v>
      </c>
      <c r="AD25" s="169">
        <f>COUNTIFS(Математика!$H$1:$H$1000,6,Математика!$J$1:$J$1000,"имеются")</f>
        <v>0</v>
      </c>
      <c r="AE25" s="2">
        <f>COUNTIFS(Математика!$H$1:$H$1000,6,Математика!$N$1:$N$1000,"Призер")</f>
        <v>0</v>
      </c>
      <c r="AF25" s="2">
        <f>COUNTIFS(Математика!$H$1:$H$1000,6,Математика!$N$1:$N$1000,"Победитель")</f>
        <v>0</v>
      </c>
      <c r="AG25" s="2">
        <f>COUNTIFS(Математика!$H$1:$H$1000,6,Математика!$N$1:$N$1000,"Победитель",Математика!$M$1:$M$1000,"100%")</f>
        <v>0</v>
      </c>
      <c r="AH25" s="2">
        <f>COUNTIFS(Математика!$H$1:$H$1000,6,Математика!$N$1:$N$1000,"Призер",Математика!$J$1:$J$1000,"имеются")</f>
        <v>0</v>
      </c>
      <c r="AI25" s="2">
        <f>COUNTIFS(Математика!$H$1:$H$1000,6,Математика!$N$1:$N$1000,"Победитель",Математика!$J$1:$J$1000,"имеются")</f>
        <v>0</v>
      </c>
      <c r="AJ25" s="2">
        <f>COUNTIF(Математика!$H$1:$H$1000,7)</f>
        <v>8</v>
      </c>
      <c r="AK25" s="169">
        <f>COUNTIFS(Математика!$H$1:$H$1000,7,Математика!$G$1:$G$1000,"&lt;7")</f>
        <v>0</v>
      </c>
      <c r="AL25" s="169">
        <f>COUNTIFS(Математика!$H$1:$H$1000,7,Математика!$J$1:$J$1000,"имеются")</f>
        <v>0</v>
      </c>
      <c r="AM25" s="2">
        <f>COUNTIFS(Математика!$H$1:$H$1000,7,Математика!$N$1:$N$1000,"Призер")</f>
        <v>1</v>
      </c>
      <c r="AN25" s="2">
        <f>COUNTIFS(Математика!$H$1:$H$1000,7,Математика!$N$1:$N$1000,"Победитель")</f>
        <v>0</v>
      </c>
      <c r="AO25" s="2">
        <f>COUNTIFS(Математика!$H$1:$H$1000,7,Математика!$N$1:$N$1000,"Победитель",Математика!$M$1:$M$1000,"100%")</f>
        <v>0</v>
      </c>
      <c r="AP25" s="2">
        <f>COUNTIFS(Математика!$H$1:$H$1000,7,Математика!$N$1:$N$1000,"Призер",Математика!$J$1:$J$1000,"имеются")</f>
        <v>0</v>
      </c>
      <c r="AQ25" s="2">
        <f>COUNTIFS(Математика!$H$1:$H$1000,7,Математика!$N$1:$N$1000,"Победитель",Математика!$J$1:$J$1000,"имеются")</f>
        <v>0</v>
      </c>
      <c r="AR25" s="2">
        <f>COUNTIF(Математика!$H$1:$H$1000,8)</f>
        <v>20</v>
      </c>
      <c r="AS25" s="169">
        <f>COUNTIFS(Математика!$H$1:$H$1000,8,Математика!$G$1:$G$1000,"&lt;8")</f>
        <v>0</v>
      </c>
      <c r="AT25" s="169">
        <f>COUNTIFS(Математика!$H$1:$H$1000,8,Математика!$J$1:$J$1000,"имеются")</f>
        <v>0</v>
      </c>
      <c r="AU25" s="2">
        <f>COUNTIFS(Математика!$H$1:$H$1000,8,Математика!$N$1:$N$1000,"Призер")</f>
        <v>0</v>
      </c>
      <c r="AV25" s="2">
        <f>COUNTIFS(Математика!$H$1:$H$1000,8,Математика!$N$1:$N$1000,"Победитель")</f>
        <v>0</v>
      </c>
      <c r="AW25" s="2">
        <f>COUNTIFS(Математика!$H$1:$H$1000,8,Математика!$N$1:$N$1000,"Победитель",Математика!$M$1:$M$1000,"100%")</f>
        <v>0</v>
      </c>
      <c r="AX25" s="2">
        <f>COUNTIFS(Математика!$H$1:$H$1000,8,Математика!$N$1:$N$1000,"Призер",Математика!$J$1:$J$1000,"имеются")</f>
        <v>0</v>
      </c>
      <c r="AY25" s="2">
        <f>COUNTIFS(Математика!$H$1:$H$1000,8,Математика!$N$1:$N$1000,"Победитель",Математика!$J$1:$J$1000,"имеются")</f>
        <v>0</v>
      </c>
      <c r="AZ25" s="2">
        <f>COUNTIF(Математика!$H$1:$H$1000,9)</f>
        <v>14</v>
      </c>
      <c r="BA25" s="169">
        <f>COUNTIFS(Математика!$H$1:$H$1000,9,Математика!$G$1:$G$1000,"&lt;9")</f>
        <v>0</v>
      </c>
      <c r="BB25" s="169">
        <f>COUNTIFS(Математика!$H$1:$H$1000,9,Математика!$J$1:$J$1000,"имеются")</f>
        <v>0</v>
      </c>
      <c r="BC25" s="2">
        <f>COUNTIFS(Математика!$H$1:$H$1000,9,Математика!$N$1:$N$1000,"Призер")</f>
        <v>1</v>
      </c>
      <c r="BD25" s="2">
        <f>COUNTIFS(Математика!$H$1:$H$1000,9,Математика!$N$1:$N$1000,"Победитель")</f>
        <v>0</v>
      </c>
      <c r="BE25" s="2">
        <f>COUNTIFS(Математика!$H$1:$H$1000,9,Математика!$N$1:$N$1000,"Победитель",Математика!$M$1:$M$1000,"100%")</f>
        <v>0</v>
      </c>
      <c r="BF25" s="2">
        <f>COUNTIFS(Математика!$H$1:$H$1000,9,Математика!$N$1:$N$1000,"Призер",Математика!$J$1:$J$1000,"имеются")</f>
        <v>0</v>
      </c>
      <c r="BG25" s="2">
        <f>COUNTIFS(Математика!$H$1:$H$1000,9,Математика!$N$1:$N$1000,"Победитель",Математика!$J$1:$J$1000,"имеются")</f>
        <v>0</v>
      </c>
      <c r="BH25" s="2">
        <f>COUNTIF(Математика!$H$1:$H$1000,10)</f>
        <v>7</v>
      </c>
      <c r="BI25" s="169">
        <f>COUNTIFS(Математика!$H$1:$H$1000,10,Математика!$G$1:$G$1000,"&lt;10")</f>
        <v>0</v>
      </c>
      <c r="BJ25" s="169">
        <f>COUNTIFS(Математика!$H$1:$H$1000,10,Математика!$J$1:$J$1000,"имеются")</f>
        <v>0</v>
      </c>
      <c r="BK25" s="2">
        <f>COUNTIFS(Математика!$H$1:$H$1000,10,Математика!$N$1:$N$1000,"Призер")</f>
        <v>1</v>
      </c>
      <c r="BL25" s="2">
        <f>COUNTIFS(Математика!$H$1:$H$1000,10,Математика!$N$1:$N$1000,"Победитель")</f>
        <v>0</v>
      </c>
      <c r="BM25" s="2">
        <f>COUNTIFS(Математика!$H$1:$H$1000,10,Математика!$N$1:$N$1000,"Победитель",Математика!$M$1:$M$1000,"100%")</f>
        <v>0</v>
      </c>
      <c r="BN25" s="2">
        <f>COUNTIFS(Математика!$H$1:$H$1000,10,Математика!$N$1:$N$1000,"Призер",Математика!$J$1:$J$1000,"имеются")</f>
        <v>0</v>
      </c>
      <c r="BO25" s="2">
        <f>COUNTIFS(Математика!$H$1:$H$1000,10,Математика!$N$1:$N$1000,"Победитель",Математика!$J$1:$J$1000,"имеются")</f>
        <v>0</v>
      </c>
      <c r="BP25" s="2">
        <f>COUNTIF(Математика!$H$1:$H$1000,11)</f>
        <v>7</v>
      </c>
      <c r="BQ25" s="169">
        <f>COUNTIFS(Математика!$H$1:$H$1000,11,Математика!$G$1:$G$1000,"&lt;11")</f>
        <v>0</v>
      </c>
      <c r="BR25" s="169">
        <f>COUNTIFS(Математика!$H$1:$H$1000,11,Математика!$J$1:$J$1000,"имеются")</f>
        <v>0</v>
      </c>
      <c r="BS25" s="2">
        <f>COUNTIFS(Математика!$H$1:$H$1000,11,Математика!$N$1:$N$1000,"Призер")</f>
        <v>0</v>
      </c>
      <c r="BT25" s="2">
        <f>COUNTIFS(Математика!$H$1:$H$1000,11,Математика!$N$1:$N$1000,"Победитель")</f>
        <v>0</v>
      </c>
      <c r="BU25" s="2">
        <f>COUNTIFS(Математика!$H$1:$H$1000,11,Математика!$N$1:$N$1000,"Победитель",Математика!$M$1:$M$1000,"100%")</f>
        <v>0</v>
      </c>
      <c r="BV25" s="2">
        <f>COUNTIFS(Математика!$H$1:$H$1000,11,Математика!$N$1:$N$1000,"Призер",Математика!$J$1:$J$1000,"имеются")</f>
        <v>0</v>
      </c>
      <c r="BW25" s="2">
        <f>COUNTIFS(Математика!$H$1:$H$1000,11,Математика!$N$1:$N$1000,"Победитель",Математика!$J$1:$J$1000,"имеются")</f>
        <v>0</v>
      </c>
      <c r="BX25" s="100">
        <f t="shared" si="1"/>
        <v>7.8431372549019607E-2</v>
      </c>
    </row>
    <row r="26" spans="1:76">
      <c r="A26" s="34">
        <v>13</v>
      </c>
      <c r="B26" s="32" t="s">
        <v>15</v>
      </c>
      <c r="C26" s="15">
        <f t="shared" si="0"/>
        <v>0</v>
      </c>
      <c r="D26" s="2">
        <f t="shared" ref="D26:E29" si="8">T26+AB26+AJ26+AR26+AZ26+BH26+BP26</f>
        <v>0</v>
      </c>
      <c r="E26" s="2">
        <f t="shared" si="8"/>
        <v>0</v>
      </c>
      <c r="F26" s="2">
        <f t="shared" si="4"/>
        <v>0</v>
      </c>
      <c r="G26" s="2">
        <f>IF(SUM(W26,AE26,AM26,AU26,BC26,BK26,BS26)&lt;&gt;COUNTIF(Немецкий_язык!$N$1:$N$1000,"Призер"),"Ошибка",SUM(W26,AE26,AM26,AU26,BC26,BK26,BS26))</f>
        <v>0</v>
      </c>
      <c r="H26" s="2">
        <f>IF(SUM(X26,AF26,AN26,AV26,BD26,BL26,BT26)&lt;&gt;COUNTIF(Немецкий_язык!$N$1:$N$1000,"Победитель"),"Ошибка",SUM(X26,AF26,AN26,AV26,BD26,BL26,BT26))</f>
        <v>0</v>
      </c>
      <c r="I26" s="2">
        <f>Y26+AG26+AO26+AW26+BE26+BM26+BU26</f>
        <v>0</v>
      </c>
      <c r="J26" s="2">
        <f t="shared" si="6"/>
        <v>0</v>
      </c>
      <c r="K26" s="2">
        <f t="shared" si="7"/>
        <v>0</v>
      </c>
      <c r="L26" s="2"/>
      <c r="M26" s="2"/>
      <c r="N26" s="2"/>
      <c r="O26" s="2"/>
      <c r="P26" s="2"/>
      <c r="Q26" s="2"/>
      <c r="R26" s="2"/>
      <c r="S26" s="2"/>
      <c r="T26" s="2">
        <f>COUNTIF(Немецкий_язык!$H$1:$H$1000,5)</f>
        <v>0</v>
      </c>
      <c r="U26" s="169">
        <f>COUNTIFS(Немецкий_язык!$H$1:$H$1000,5,Немецкий_язык!$G$1:$G$1000,"&lt;5")</f>
        <v>0</v>
      </c>
      <c r="V26" s="169">
        <f>COUNTIFS(Немецкий_язык!$H$1:$H$1000,5,Немецкий_язык!$J$1:$J$1000,"имеются")</f>
        <v>0</v>
      </c>
      <c r="W26" s="2">
        <f>COUNTIFS(Немецкий_язык!$H$1:$H$1000,5,Немецкий_язык!$N$1:$N$1000,"Призер")</f>
        <v>0</v>
      </c>
      <c r="X26" s="2">
        <f>COUNTIFS(Немецкий_язык!$H$1:$H$1000,5,Немецкий_язык!$N$1:$N$1000,"Победитель")</f>
        <v>0</v>
      </c>
      <c r="Y26" s="2">
        <f>COUNTIFS(Немецкий_язык!$H$1:$H$1000,5,Немецкий_язык!$N$1:$N$1000,"Победитель",Немецкий_язык!$M$1:$M$1000,"100%")</f>
        <v>0</v>
      </c>
      <c r="Z26" s="2">
        <f>COUNTIFS(Немецкий_язык!$H$1:$H$1000,5,Немецкий_язык!$N$1:$N$1000,"Призер",Немецкий_язык!$J$1:$J$1000,"имеются")</f>
        <v>0</v>
      </c>
      <c r="AA26" s="2">
        <f>COUNTIFS(Немецкий_язык!$H$1:$H$1000,5,Немецкий_язык!$N$1:$N$1000,"Победитель",Немецкий_язык!$J$1:$J$1000,"имеются")</f>
        <v>0</v>
      </c>
      <c r="AB26" s="2">
        <f>COUNTIF(Немецкий_язык!$H$1:$H$1000,6)</f>
        <v>0</v>
      </c>
      <c r="AC26" s="169">
        <f>COUNTIFS(Немецкий_язык!$H$1:$H$1000,6,Немецкий_язык!$G$1:$G$1000,"&lt;6")</f>
        <v>0</v>
      </c>
      <c r="AD26" s="169">
        <f>COUNTIFS(Немецкий_язык!$H$1:$H$1000,6,Немецкий_язык!$J$1:$J$1000,"имеются")</f>
        <v>0</v>
      </c>
      <c r="AE26" s="2">
        <f>COUNTIFS(Немецкий_язык!$H$1:$H$1000,6,Немецкий_язык!$N$1:$N$1000,"Призер")</f>
        <v>0</v>
      </c>
      <c r="AF26" s="2">
        <f>COUNTIFS(Немецкий_язык!$H$1:$H$1000,6,Немецкий_язык!$N$1:$N$1000,"Победитель")</f>
        <v>0</v>
      </c>
      <c r="AG26" s="2">
        <f>COUNTIFS(Немецкий_язык!$H$1:$H$1000,6,Немецкий_язык!$N$1:$N$1000,"Победитель",Немецкий_язык!$M$1:$M$1000,"100%")</f>
        <v>0</v>
      </c>
      <c r="AH26" s="2">
        <f>COUNTIFS(Немецкий_язык!$H$1:$H$1000,6,Немецкий_язык!$N$1:$N$1000,"Призер",Немецкий_язык!$J$1:$J$1000,"имеются")</f>
        <v>0</v>
      </c>
      <c r="AI26" s="2">
        <f>COUNTIFS(Немецкий_язык!$H$1:$H$1000,6,Немецкий_язык!$N$1:$N$1000,"Победитель",Немецкий_язык!$J$1:$J$1000,"имеются")</f>
        <v>0</v>
      </c>
      <c r="AJ26" s="2">
        <f>COUNTIF(Немецкий_язык!$H$1:$H$1000,7)</f>
        <v>0</v>
      </c>
      <c r="AK26" s="169">
        <f>COUNTIFS(Немецкий_язык!$H$1:$H$1000,7,Немецкий_язык!$G$1:$G$1000,"&lt;7")</f>
        <v>0</v>
      </c>
      <c r="AL26" s="169">
        <f>COUNTIFS(Немецкий_язык!$H$1:$H$1000,7,Немецкий_язык!$J$1:$J$1000,"имеются")</f>
        <v>0</v>
      </c>
      <c r="AM26" s="2">
        <f>COUNTIFS(Немецкий_язык!$H$1:$H$1000,7,Немецкий_язык!$N$1:$N$1000,"Призер")</f>
        <v>0</v>
      </c>
      <c r="AN26" s="2">
        <f>COUNTIFS(Немецкий_язык!$H$1:$H$1000,7,Немецкий_язык!$N$1:$N$1000,"Победитель")</f>
        <v>0</v>
      </c>
      <c r="AO26" s="2">
        <f>COUNTIFS(Немецкий_язык!$H$1:$H$1000,7,Немецкий_язык!$N$1:$N$1000,"Победитель",Немецкий_язык!$M$1:$M$1000,"100%")</f>
        <v>0</v>
      </c>
      <c r="AP26" s="2">
        <f>COUNTIFS(Немецкий_язык!$H$1:$H$1000,7,Немецкий_язык!$N$1:$N$1000,"Призер",Немецкий_язык!$J$1:$J$1000,"имеются")</f>
        <v>0</v>
      </c>
      <c r="AQ26" s="2">
        <f>COUNTIFS(Немецкий_язык!$H$1:$H$1000,7,Немецкий_язык!$N$1:$N$1000,"Победитель",Немецкий_язык!$J$1:$J$1000,"имеются")</f>
        <v>0</v>
      </c>
      <c r="AR26" s="2">
        <f>COUNTIF(Немецкий_язык!$H$1:$H$1000,8)</f>
        <v>0</v>
      </c>
      <c r="AS26" s="169">
        <f>COUNTIFS(Немецкий_язык!$H$1:$H$1000,8,Немецкий_язык!$G$1:$G$1000,"&lt;8")</f>
        <v>0</v>
      </c>
      <c r="AT26" s="169">
        <f>COUNTIFS(Немецкий_язык!$H$1:$H$1000,8,Немецкий_язык!$J$1:$J$1000,"имеются")</f>
        <v>0</v>
      </c>
      <c r="AU26" s="2">
        <f>COUNTIFS(Немецкий_язык!$H$1:$H$1000,8,Немецкий_язык!$N$1:$N$1000,"Призер")</f>
        <v>0</v>
      </c>
      <c r="AV26" s="2">
        <f>COUNTIFS(Немецкий_язык!$H$1:$H$1000,8,Немецкий_язык!$N$1:$N$1000,"Победитель")</f>
        <v>0</v>
      </c>
      <c r="AW26" s="2">
        <f>COUNTIFS(Немецкий_язык!$H$1:$H$1000,8,Немецкий_язык!$N$1:$N$1000,"Победитель",Немецкий_язык!$M$1:$M$1000,"100%")</f>
        <v>0</v>
      </c>
      <c r="AX26" s="2">
        <f>COUNTIFS(Немецкий_язык!$H$1:$H$1000,8,Немецкий_язык!$N$1:$N$1000,"Призер",Немецкий_язык!$J$1:$J$1000,"имеются")</f>
        <v>0</v>
      </c>
      <c r="AY26" s="2">
        <f>COUNTIFS(Немецкий_язык!$H$1:$H$1000,8,Немецкий_язык!$N$1:$N$1000,"Победитель",Немецкий_язык!$J$1:$J$1000,"имеются")</f>
        <v>0</v>
      </c>
      <c r="AZ26" s="2">
        <f>COUNTIF(Немецкий_язык!$H$1:$H$1000,9)</f>
        <v>0</v>
      </c>
      <c r="BA26" s="169">
        <f>COUNTIFS(Немецкий_язык!$H$1:$H$1000,9,Немецкий_язык!$G$1:$G$1000,"&lt;9")</f>
        <v>0</v>
      </c>
      <c r="BB26" s="169">
        <f>COUNTIFS(Немецкий_язык!$H$1:$H$1000,9,Немецкий_язык!$J$1:$J$1000,"имеются")</f>
        <v>0</v>
      </c>
      <c r="BC26" s="2">
        <f>COUNTIFS(Немецкий_язык!$H$1:$H$1000,9,Немецкий_язык!$N$1:$N$1000,"Призер")</f>
        <v>0</v>
      </c>
      <c r="BD26" s="2">
        <f>COUNTIFS(Немецкий_язык!$H$1:$H$1000,9,Немецкий_язык!$N$1:$N$1000,"Победитель")</f>
        <v>0</v>
      </c>
      <c r="BE26" s="2">
        <f>COUNTIFS(Немецкий_язык!$H$1:$H$1000,9,Немецкий_язык!$N$1:$N$1000,"Победитель",Немецкий_язык!$M$1:$M$1000,"100%")</f>
        <v>0</v>
      </c>
      <c r="BF26" s="2">
        <f>COUNTIFS(Немецкий_язык!$H$1:$H$1000,9,Немецкий_язык!$N$1:$N$1000,"Призер",Немецкий_язык!$J$1:$J$1000,"имеются")</f>
        <v>0</v>
      </c>
      <c r="BG26" s="2">
        <f>COUNTIFS(Немецкий_язык!$H$1:$H$1000,9,Немецкий_язык!$N$1:$N$1000,"Победитель",Немецкий_язык!$J$1:$J$1000,"имеются")</f>
        <v>0</v>
      </c>
      <c r="BH26" s="2">
        <f>COUNTIF(Немецкий_язык!$H$1:$H$1000,10)</f>
        <v>0</v>
      </c>
      <c r="BI26" s="169">
        <f>COUNTIFS(Немецкий_язык!$H$1:$H$1000,10,Немецкий_язык!$G$1:$G$1000,"&lt;10")</f>
        <v>0</v>
      </c>
      <c r="BJ26" s="169">
        <f>COUNTIFS(Немецкий_язык!$H$1:$H$1000,10,Немецкий_язык!$J$1:$J$1000,"имеются")</f>
        <v>0</v>
      </c>
      <c r="BK26" s="2">
        <f>COUNTIFS(Немецкий_язык!$H$1:$H$1000,10,Немецкий_язык!$N$1:$N$1000,"Призер")</f>
        <v>0</v>
      </c>
      <c r="BL26" s="2">
        <f>COUNTIFS(Немецкий_язык!$H$1:$H$1000,10,Немецкий_язык!$N$1:$N$1000,"Победитель")</f>
        <v>0</v>
      </c>
      <c r="BM26" s="2">
        <f>COUNTIFS(Немецкий_язык!$H$1:$H$1000,10,Немецкий_язык!$N$1:$N$1000,"Победитель",Немецкий_язык!$M$1:$M$1000,"100%")</f>
        <v>0</v>
      </c>
      <c r="BN26" s="2">
        <f>COUNTIFS(Немецкий_язык!$H$1:$H$1000,10,Немецкий_язык!$N$1:$N$1000,"Призер",Немецкий_язык!$J$1:$J$1000,"имеются")</f>
        <v>0</v>
      </c>
      <c r="BO26" s="2">
        <f>COUNTIFS(Немецкий_язык!$H$1:$H$1000,10,Немецкий_язык!$N$1:$N$1000,"Победитель",Немецкий_язык!$J$1:$J$1000,"имеются")</f>
        <v>0</v>
      </c>
      <c r="BP26" s="2">
        <f>COUNTIF(Немецкий_язык!$H$1:$H$1000,11)</f>
        <v>0</v>
      </c>
      <c r="BQ26" s="169">
        <f>COUNTIFS(Немецкий_язык!$H$1:$H$1000,11,Немецкий_язык!$G$1:$G$1000,"&lt;11")</f>
        <v>0</v>
      </c>
      <c r="BR26" s="169">
        <f>COUNTIFS(Немецкий_язык!$H$1:$H$1000,11,Немецкий_язык!$J$1:$J$1000,"имеются")</f>
        <v>0</v>
      </c>
      <c r="BS26" s="2">
        <f>COUNTIFS(Немецкий_язык!$H$1:$H$1000,11,Немецкий_язык!$N$1:$N$1000,"Призер")</f>
        <v>0</v>
      </c>
      <c r="BT26" s="2">
        <f>COUNTIFS(Немецкий_язык!$H$1:$H$1000,11,Немецкий_язык!$N$1:$N$1000,"Победитель")</f>
        <v>0</v>
      </c>
      <c r="BU26" s="2">
        <f>COUNTIFS(Немецкий_язык!$H$1:$H$1000,11,Немецкий_язык!$N$1:$N$1000,"Победитель",Немецкий_язык!$M$1:$M$1000,"100%")</f>
        <v>0</v>
      </c>
      <c r="BV26" s="2">
        <f>COUNTIFS(Немецкий_язык!$H$1:$H$1000,11,Немецкий_язык!$N$1:$N$1000,"Призер",Немецкий_язык!$J$1:$J$1000,"имеются")</f>
        <v>0</v>
      </c>
      <c r="BW26" s="2">
        <f>COUNTIFS(Немецкий_язык!$H$1:$H$1000,11,Немецкий_язык!$N$1:$N$1000,"Победитель",Немецкий_язык!$J$1:$J$1000,"имеются")</f>
        <v>0</v>
      </c>
      <c r="BX26" s="100" t="e">
        <f t="shared" si="1"/>
        <v>#DIV/0!</v>
      </c>
    </row>
    <row r="27" spans="1:76">
      <c r="A27" s="34">
        <v>14</v>
      </c>
      <c r="B27" s="135" t="s">
        <v>57</v>
      </c>
      <c r="C27" s="15">
        <f t="shared" si="0"/>
        <v>1</v>
      </c>
      <c r="D27" s="2">
        <f t="shared" si="8"/>
        <v>7</v>
      </c>
      <c r="E27" s="2">
        <f t="shared" si="8"/>
        <v>0</v>
      </c>
      <c r="F27" s="2">
        <f t="shared" si="4"/>
        <v>0</v>
      </c>
      <c r="G27" s="2">
        <f>IF(SUM(W27,AE27,AM27,AU27,BC27,BK27,BS27)&lt;&gt;COUNTIF(ОБЖ!$N$1:$N$1000,"Призер"),"Ошибка",SUM(W27,AE27,AM27,AU27,BC27,BK27,BS27))</f>
        <v>0</v>
      </c>
      <c r="H27" s="2">
        <f>IF(SUM(X27,AF27,AN27,AV27,BD27,BL27,BT27)&lt;&gt;COUNTIF(ОБЖ!$N$1:$N$1000,"Победитель"),"Ошибка",SUM(X27,AF27,AN27,AV27,BD27,BL27,BT27))</f>
        <v>0</v>
      </c>
      <c r="I27" s="2">
        <f t="shared" ref="I27:K29" si="9">Y27+AG27+AO27+AW27+BE27+BM27+BU27</f>
        <v>0</v>
      </c>
      <c r="J27" s="2">
        <f t="shared" si="9"/>
        <v>0</v>
      </c>
      <c r="K27" s="2">
        <f t="shared" si="9"/>
        <v>0</v>
      </c>
      <c r="L27" s="2"/>
      <c r="M27" s="2"/>
      <c r="N27" s="2"/>
      <c r="O27" s="2"/>
      <c r="P27" s="2"/>
      <c r="Q27" s="2"/>
      <c r="R27" s="2"/>
      <c r="S27" s="2"/>
      <c r="T27" s="2">
        <f>COUNTIF(ОБЖ!$H$1:$H$1000,5)</f>
        <v>0</v>
      </c>
      <c r="U27" s="169">
        <f>COUNTIFS(ОБЖ!$H$1:$H$1000,5,ОБЖ!$G$1:$G$1000,"&lt;5")</f>
        <v>0</v>
      </c>
      <c r="V27" s="169">
        <f>COUNTIFS(ОБЖ!$H$1:$H$1000,5,ОБЖ!$J$1:$J$1000,"имеются")</f>
        <v>0</v>
      </c>
      <c r="W27" s="2">
        <f>COUNTIFS(ОБЖ!$H$1:$H$1000,5,ОБЖ!$N$1:$N$1000,"Призер")</f>
        <v>0</v>
      </c>
      <c r="X27" s="2">
        <f>COUNTIFS(ОБЖ!$H$1:$H$1000,5,ОБЖ!$N$1:$N$1000,"Победитель")</f>
        <v>0</v>
      </c>
      <c r="Y27" s="2">
        <f>COUNTIFS(ОБЖ!$H$1:$H$1000,5,ОБЖ!$N$1:$N$1000,"Победитель",ОБЖ!$M$1:$M$1000,"100%")</f>
        <v>0</v>
      </c>
      <c r="Z27" s="2">
        <f>COUNTIFS(ОБЖ!$H$1:$H$1000,5,ОБЖ!$N$1:$N$1000,"Призер",ОБЖ!$J$1:$J$1000,"имеются")</f>
        <v>0</v>
      </c>
      <c r="AA27" s="2">
        <f>COUNTIFS(ОБЖ!$H$1:$H$1000,5,ОБЖ!$N$1:$N$1000,"Победитель",ОБЖ!$J$1:$J$1000,"имеются")</f>
        <v>0</v>
      </c>
      <c r="AB27" s="2">
        <f>COUNTIF(ОБЖ!$H$1:$H$1000,6)</f>
        <v>0</v>
      </c>
      <c r="AC27" s="169">
        <f>COUNTIFS(ОБЖ!$H$1:$H$1000,6,ОБЖ!$G$1:$G$1000,"&lt;6")</f>
        <v>0</v>
      </c>
      <c r="AD27" s="169">
        <f>COUNTIFS(ОБЖ!$H$1:$H$1000,6,ОБЖ!$J$1:$J$1000,"имеются")</f>
        <v>0</v>
      </c>
      <c r="AE27" s="2">
        <f>COUNTIFS(ОБЖ!$H$1:$H$1000,6,ОБЖ!$N$1:$N$1000,"Призер")</f>
        <v>0</v>
      </c>
      <c r="AF27" s="2">
        <f>COUNTIFS(ОБЖ!$H$1:$H$1000,6,ОБЖ!$N$1:$N$1000,"Победитель")</f>
        <v>0</v>
      </c>
      <c r="AG27" s="2">
        <f>COUNTIFS(ОБЖ!$H$1:$H$1000,6,ОБЖ!$N$1:$N$1000,"Победитель",ОБЖ!$M$1:$M$1000,"100%")</f>
        <v>0</v>
      </c>
      <c r="AH27" s="2">
        <f>COUNTIFS(ОБЖ!$H$1:$H$1000,6,ОБЖ!$N$1:$N$1000,"Призер",ОБЖ!$J$1:$J$1000,"имеются")</f>
        <v>0</v>
      </c>
      <c r="AI27" s="2">
        <f>COUNTIFS(ОБЖ!$H$1:$H$1000,6,ОБЖ!$N$1:$N$1000,"Победитель",ОБЖ!$J$1:$J$1000,"имеются")</f>
        <v>0</v>
      </c>
      <c r="AJ27" s="2">
        <f>COUNTIF(ОБЖ!$H$1:$H$1000,7)</f>
        <v>0</v>
      </c>
      <c r="AK27" s="169">
        <f>COUNTIFS(ОБЖ!$H$1:$H$1000,7,ОБЖ!$G$1:$G$1000,"&lt;7")</f>
        <v>0</v>
      </c>
      <c r="AL27" s="169">
        <f>COUNTIFS(ОБЖ!$H$1:$H$1000,7,ОБЖ!$J$1:$J$1000,"имеются")</f>
        <v>0</v>
      </c>
      <c r="AM27" s="2">
        <f>COUNTIFS(ОБЖ!$H$1:$H$1000,7,ОБЖ!$N$1:$N$1000,"Призер")</f>
        <v>0</v>
      </c>
      <c r="AN27" s="2">
        <f>COUNTIFS(ОБЖ!$H$1:$H$1000,7,ОБЖ!$N$1:$N$1000,"Победитель")</f>
        <v>0</v>
      </c>
      <c r="AO27" s="2">
        <f>COUNTIFS(ОБЖ!$H$1:$H$1000,7,ОБЖ!$N$1:$N$1000,"Победитель",ОБЖ!$M$1:$M$1000,"100%")</f>
        <v>0</v>
      </c>
      <c r="AP27" s="2">
        <f>COUNTIFS(ОБЖ!$H$1:$H$1000,7,ОБЖ!$N$1:$N$1000,"Призер",ОБЖ!$J$1:$J$1000,"имеются")</f>
        <v>0</v>
      </c>
      <c r="AQ27" s="2">
        <f>COUNTIFS(ОБЖ!$H$1:$H$1000,7,ОБЖ!$N$1:$N$1000,"Победитель",ОБЖ!$J$1:$J$1000,"имеются")</f>
        <v>0</v>
      </c>
      <c r="AR27" s="2">
        <f>COUNTIF(ОБЖ!$H$1:$H$1000,8)</f>
        <v>0</v>
      </c>
      <c r="AS27" s="169">
        <f>COUNTIFS(ОБЖ!$H$1:$H$1000,8,ОБЖ!$G$1:$G$1000,"&lt;8")</f>
        <v>0</v>
      </c>
      <c r="AT27" s="169">
        <f>COUNTIFS(ОБЖ!$H$1:$H$1000,8,ОБЖ!$J$1:$J$1000,"имеются")</f>
        <v>0</v>
      </c>
      <c r="AU27" s="2">
        <f>COUNTIFS(ОБЖ!$H$1:$H$1000,8,ОБЖ!$N$1:$N$1000,"Призер")</f>
        <v>0</v>
      </c>
      <c r="AV27" s="2">
        <f>COUNTIFS(ОБЖ!$H$1:$H$1000,8,ОБЖ!$N$1:$N$1000,"Победитель")</f>
        <v>0</v>
      </c>
      <c r="AW27" s="2">
        <f>COUNTIFS(ОБЖ!$H$1:$H$1000,8,ОБЖ!$N$1:$N$1000,"Победитель",ОБЖ!$M$1:$M$1000,"100%")</f>
        <v>0</v>
      </c>
      <c r="AX27" s="2">
        <f>COUNTIFS(ОБЖ!$H$1:$H$1000,8,ОБЖ!$N$1:$N$1000,"Призер",ОБЖ!$J$1:$J$1000,"имеются")</f>
        <v>0</v>
      </c>
      <c r="AY27" s="2">
        <f>COUNTIFS(ОБЖ!$H$1:$H$1000,8,ОБЖ!$N$1:$N$1000,"Победитель",ОБЖ!$J$1:$J$1000,"имеются")</f>
        <v>0</v>
      </c>
      <c r="AZ27" s="2">
        <f>COUNTIF(ОБЖ!$H$1:$H$1000,9)</f>
        <v>3</v>
      </c>
      <c r="BA27" s="169">
        <f>COUNTIFS(ОБЖ!$H$1:$H$1000,9,ОБЖ!$G$1:$G$1000,"&lt;9")</f>
        <v>0</v>
      </c>
      <c r="BB27" s="169">
        <f>COUNTIFS(ОБЖ!$H$1:$H$1000,9,ОБЖ!$J$1:$J$1000,"имеются")</f>
        <v>0</v>
      </c>
      <c r="BC27" s="2">
        <f>COUNTIFS(ОБЖ!$H$1:$H$1000,9,ОБЖ!$N$1:$N$1000,"Призер")</f>
        <v>0</v>
      </c>
      <c r="BD27" s="2">
        <f>COUNTIFS(ОБЖ!$H$1:$H$1000,9,ОБЖ!$N$1:$N$1000,"Победитель")</f>
        <v>0</v>
      </c>
      <c r="BE27" s="2">
        <f>COUNTIFS(ОБЖ!$H$1:$H$1000,9,ОБЖ!$N$1:$N$1000,"Победитель",ОБЖ!$M$1:$M$1000,"100%")</f>
        <v>0</v>
      </c>
      <c r="BF27" s="2">
        <f>COUNTIFS(ОБЖ!$H$1:$H$1000,9,ОБЖ!$N$1:$N$1000,"Призер",ОБЖ!$J$1:$J$1000,"имеются")</f>
        <v>0</v>
      </c>
      <c r="BG27" s="2">
        <f>COUNTIFS(ОБЖ!$H$1:$H$1000,9,ОБЖ!$N$1:$N$1000,"Победитель",ОБЖ!$J$1:$J$1000,"имеются")</f>
        <v>0</v>
      </c>
      <c r="BH27" s="2">
        <f>COUNTIF(ОБЖ!$H$1:$H$1000,10)</f>
        <v>2</v>
      </c>
      <c r="BI27" s="169">
        <f>COUNTIFS(ОБЖ!$H$1:$H$1000,10,ОБЖ!$G$1:$G$1000,"&lt;10")</f>
        <v>0</v>
      </c>
      <c r="BJ27" s="169">
        <f>COUNTIFS(ОБЖ!$H$1:$H$1000,10,ОБЖ!$J$1:$J$1000,"имеются")</f>
        <v>0</v>
      </c>
      <c r="BK27" s="2">
        <f>COUNTIFS(ОБЖ!$H$1:$H$1000,10,ОБЖ!$N$1:$N$1000,"Призер")</f>
        <v>0</v>
      </c>
      <c r="BL27" s="2">
        <f>COUNTIFS(ОБЖ!$H$1:$H$1000,10,ОБЖ!$N$1:$N$1000,"Победитель")</f>
        <v>0</v>
      </c>
      <c r="BM27" s="2">
        <f>COUNTIFS(ОБЖ!$H$1:$H$1000,10,ОБЖ!$N$1:$N$1000,"Победитель",ОБЖ!$M$1:$M$1000,"100%")</f>
        <v>0</v>
      </c>
      <c r="BN27" s="2">
        <f>COUNTIFS(ОБЖ!$H$1:$H$1000,10,ОБЖ!$N$1:$N$1000,"Призер",ОБЖ!$J$1:$J$1000,"имеются")</f>
        <v>0</v>
      </c>
      <c r="BO27" s="2">
        <f>COUNTIFS(ОБЖ!$H$1:$H$1000,10,ОБЖ!$N$1:$N$1000,"Победитель",ОБЖ!$J$1:$J$1000,"имеются")</f>
        <v>0</v>
      </c>
      <c r="BP27" s="2">
        <f>COUNTIF(ОБЖ!$H$1:$H$1000,11)</f>
        <v>2</v>
      </c>
      <c r="BQ27" s="169">
        <f>COUNTIFS(ОБЖ!$H$1:$H$1000,11,ОБЖ!$G$1:$G$1000,"&lt;11")</f>
        <v>0</v>
      </c>
      <c r="BR27" s="169">
        <f>COUNTIFS(ОБЖ!$H$1:$H$1000,11,ОБЖ!$J$1:$J$1000,"имеются")</f>
        <v>0</v>
      </c>
      <c r="BS27" s="2">
        <f>COUNTIFS(ОБЖ!$H$1:$H$1000,11,ОБЖ!$N$1:$N$1000,"Призер")</f>
        <v>0</v>
      </c>
      <c r="BT27" s="2">
        <f>COUNTIFS(ОБЖ!$H$1:$H$1000,11,ОБЖ!$N$1:$N$1000,"Победитель")</f>
        <v>0</v>
      </c>
      <c r="BU27" s="2">
        <f>COUNTIFS(ОБЖ!$H$1:$H$1000,11,ОБЖ!$N$1:$N$1000,"Победитель",ОБЖ!$M$1:$M$1000,"100%")</f>
        <v>0</v>
      </c>
      <c r="BV27" s="2">
        <f>COUNTIFS(ОБЖ!$H$1:$H$1000,11,ОБЖ!$N$1:$N$1000,"Призер",ОБЖ!$J$1:$J$1000,"имеются")</f>
        <v>0</v>
      </c>
      <c r="BW27" s="2">
        <f>COUNTIFS(ОБЖ!$H$1:$H$1000,11,ОБЖ!$N$1:$N$1000,"Победитель",ОБЖ!$J$1:$J$1000,"имеются")</f>
        <v>0</v>
      </c>
      <c r="BX27" s="100">
        <f t="shared" si="1"/>
        <v>0</v>
      </c>
    </row>
    <row r="28" spans="1:76">
      <c r="A28" s="34">
        <v>15</v>
      </c>
      <c r="B28" s="32" t="s">
        <v>45</v>
      </c>
      <c r="C28" s="15">
        <f t="shared" si="0"/>
        <v>1</v>
      </c>
      <c r="D28" s="2">
        <f t="shared" si="8"/>
        <v>74</v>
      </c>
      <c r="E28" s="2">
        <f t="shared" si="8"/>
        <v>0</v>
      </c>
      <c r="F28" s="2">
        <f t="shared" si="4"/>
        <v>0</v>
      </c>
      <c r="G28" s="2">
        <f>IF(SUM(W28,AE28,AM28,AU28,BC28,BK28,BS28)&lt;&gt;COUNTIF(Обществознание!$N$1:$N$1000,"Призер"),"Ошибка",SUM(W28,AE28,AM28,AU28,BC28,BK28,BS28))</f>
        <v>7</v>
      </c>
      <c r="H28" s="2">
        <f>IF(SUM(X28,AF28,AN28,AV28,BD28,BL28,BT28)&lt;&gt;COUNTIF(Обществознание!$N$1:$N$1000,"Победитель"),"Ошибка",SUM(X28,AF28,AN28,AV28,BD28,BL28,BT28))</f>
        <v>4</v>
      </c>
      <c r="I28" s="2">
        <f t="shared" si="9"/>
        <v>0</v>
      </c>
      <c r="J28" s="2">
        <f t="shared" si="9"/>
        <v>0</v>
      </c>
      <c r="K28" s="2">
        <f t="shared" si="9"/>
        <v>0</v>
      </c>
      <c r="L28" s="2"/>
      <c r="M28" s="2"/>
      <c r="N28" s="2"/>
      <c r="O28" s="2"/>
      <c r="P28" s="2"/>
      <c r="Q28" s="2"/>
      <c r="R28" s="2"/>
      <c r="S28" s="2"/>
      <c r="T28" s="2">
        <f>COUNTIF(Обществознание!$H$1:$H$1000,5)</f>
        <v>0</v>
      </c>
      <c r="U28" s="169">
        <f>COUNTIFS(Обществознание!$H$1:$H$1000,5,Обществознание!$G$1:$G$1000,"&lt;5")</f>
        <v>0</v>
      </c>
      <c r="V28" s="169">
        <f>COUNTIFS(Обществознание!$H$1:$H$1000,5,Обществознание!$J$1:$J$1000,"имеются")</f>
        <v>0</v>
      </c>
      <c r="W28" s="2">
        <f>COUNTIFS(Обществознание!$H$1:$H$1000,5,Обществознание!$N$1:$N$1000,"Призер")</f>
        <v>0</v>
      </c>
      <c r="X28" s="2">
        <f>COUNTIFS(Обществознание!$H$1:$H$1000,5,Обществознание!$N$1:$N$1000,"Победитель")</f>
        <v>0</v>
      </c>
      <c r="Y28" s="2">
        <f>COUNTIFS(Обществознание!$H$1:$H$1000,5,Обществознание!$N$1:$N$1000,"Победитель",Обществознание!$M$1:$M$1000,"100%")</f>
        <v>0</v>
      </c>
      <c r="Z28" s="2">
        <f>COUNTIFS(Обществознание!$H$1:$H$1000,5,Обществознание!$N$1:$N$1000,"Призер",Обществознание!$J$1:$J$1000,"имеются")</f>
        <v>0</v>
      </c>
      <c r="AA28" s="2">
        <f>COUNTIFS(Обществознание!$H$1:$H$1000,5,Обществознание!$N$1:$N$1000,"Победитель",Обществознание!$J$1:$J$1000,"имеются")</f>
        <v>0</v>
      </c>
      <c r="AB28" s="2">
        <f>COUNTIF(Обществознание!$H$1:$H$1000,6)</f>
        <v>8</v>
      </c>
      <c r="AC28" s="169">
        <f>COUNTIFS(Обществознание!$H$1:$H$1000,6,Обществознание!$G$1:$G$1000,"&lt;6")</f>
        <v>0</v>
      </c>
      <c r="AD28" s="169">
        <f>COUNTIFS(Обществознание!$H$1:$H$1000,6,Обществознание!$J$1:$J$1000,"имеются")</f>
        <v>0</v>
      </c>
      <c r="AE28" s="2">
        <f>COUNTIFS(Обществознание!$H$1:$H$1000,6,Обществознание!$N$1:$N$1000,"Призер")</f>
        <v>1</v>
      </c>
      <c r="AF28" s="2">
        <f>COUNTIFS(Обществознание!$H$1:$H$1000,6,Обществознание!$N$1:$N$1000,"Победитель")</f>
        <v>0</v>
      </c>
      <c r="AG28" s="2">
        <f>COUNTIFS(Обществознание!$H$1:$H$1000,6,Обществознание!$N$1:$N$1000,"Победитель",Обществознание!$M$1:$M$1000,"100%")</f>
        <v>0</v>
      </c>
      <c r="AH28" s="2">
        <f>COUNTIFS(Обществознание!$H$1:$H$1000,6,Обществознание!$N$1:$N$1000,"Призер",Обществознание!$J$1:$J$1000,"имеются")</f>
        <v>0</v>
      </c>
      <c r="AI28" s="2">
        <f>COUNTIFS(Обществознание!$H$1:$H$1000,6,Обществознание!$N$1:$N$1000,"Победитель",Обществознание!$J$1:$J$1000,"имеются")</f>
        <v>0</v>
      </c>
      <c r="AJ28" s="2">
        <f>COUNTIF(Обществознание!$H$1:$H$1000,7)</f>
        <v>13</v>
      </c>
      <c r="AK28" s="169">
        <f>COUNTIFS(Обществознание!$H$1:$H$1000,7,Обществознание!$G$1:$G$1000,"&lt;7")</f>
        <v>0</v>
      </c>
      <c r="AL28" s="169">
        <f>COUNTIFS(Обществознание!$H$1:$H$1000,7,Обществознание!$J$1:$J$1000,"имеются")</f>
        <v>0</v>
      </c>
      <c r="AM28" s="2">
        <f>COUNTIFS(Обществознание!$H$1:$H$1000,7,Обществознание!$N$1:$N$1000,"Призер")</f>
        <v>1</v>
      </c>
      <c r="AN28" s="2">
        <f>COUNTIFS(Обществознание!$H$1:$H$1000,7,Обществознание!$N$1:$N$1000,"Победитель")</f>
        <v>1</v>
      </c>
      <c r="AO28" s="2">
        <f>COUNTIFS(Обществознание!$H$1:$H$1000,7,Обществознание!$N$1:$N$1000,"Победитель",Обществознание!$M$1:$M$1000,"100%")</f>
        <v>0</v>
      </c>
      <c r="AP28" s="2">
        <f>COUNTIFS(Обществознание!$H$1:$H$1000,7,Обществознание!$N$1:$N$1000,"Призер",Обществознание!$J$1:$J$1000,"имеются")</f>
        <v>0</v>
      </c>
      <c r="AQ28" s="2">
        <f>COUNTIFS(Обществознание!$H$1:$H$1000,7,Обществознание!$N$1:$N$1000,"Победитель",Обществознание!$J$1:$J$1000,"имеются")</f>
        <v>0</v>
      </c>
      <c r="AR28" s="2">
        <f>COUNTIF(Обществознание!$H$1:$H$1000,8)</f>
        <v>14</v>
      </c>
      <c r="AS28" s="169">
        <f>COUNTIFS(Обществознание!$H$1:$H$1000,8,Обществознание!$G$1:$G$1000,"&lt;8")</f>
        <v>0</v>
      </c>
      <c r="AT28" s="169">
        <f>COUNTIFS(Обществознание!$H$1:$H$1000,8,Обществознание!$J$1:$J$1000,"имеются")</f>
        <v>0</v>
      </c>
      <c r="AU28" s="2">
        <f>COUNTIFS(Обществознание!$H$1:$H$1000,8,Обществознание!$N$1:$N$1000,"Призер")</f>
        <v>1</v>
      </c>
      <c r="AV28" s="2">
        <f>COUNTIFS(Обществознание!$H$1:$H$1000,8,Обществознание!$N$1:$N$1000,"Победитель")</f>
        <v>1</v>
      </c>
      <c r="AW28" s="2">
        <f>COUNTIFS(Обществознание!$H$1:$H$1000,8,Обществознание!$N$1:$N$1000,"Победитель",Обществознание!$M$1:$M$1000,"100%")</f>
        <v>0</v>
      </c>
      <c r="AX28" s="2">
        <f>COUNTIFS(Обществознание!$H$1:$H$1000,8,Обществознание!$N$1:$N$1000,"Призер",Обществознание!$J$1:$J$1000,"имеются")</f>
        <v>0</v>
      </c>
      <c r="AY28" s="2">
        <f>COUNTIFS(Обществознание!$H$1:$H$1000,8,Обществознание!$N$1:$N$1000,"Победитель",Обществознание!$J$1:$J$1000,"имеются")</f>
        <v>0</v>
      </c>
      <c r="AZ28" s="2">
        <f>COUNTIF(Обществознание!$H$1:$H$1000,9)</f>
        <v>17</v>
      </c>
      <c r="BA28" s="169">
        <f>COUNTIFS(Обществознание!$H$1:$H$1000,9,Обществознание!$G$1:$G$1000,"&lt;9")</f>
        <v>0</v>
      </c>
      <c r="BB28" s="169">
        <f>COUNTIFS(Обществознание!$H$1:$H$1000,9,Обществознание!$J$1:$J$1000,"имеются")</f>
        <v>0</v>
      </c>
      <c r="BC28" s="2">
        <f>COUNTIFS(Обществознание!$H$1:$H$1000,9,Обществознание!$N$1:$N$1000,"Призер")</f>
        <v>1</v>
      </c>
      <c r="BD28" s="2">
        <f>COUNTIFS(Обществознание!$H$1:$H$1000,9,Обществознание!$N$1:$N$1000,"Победитель")</f>
        <v>1</v>
      </c>
      <c r="BE28" s="2">
        <f>COUNTIFS(Обществознание!$H$1:$H$1000,9,Обществознание!$N$1:$N$1000,"Победитель",Обществознание!$M$1:$M$1000,"100%")</f>
        <v>0</v>
      </c>
      <c r="BF28" s="2">
        <f>COUNTIFS(Обществознание!$H$1:$H$1000,9,Обществознание!$N$1:$N$1000,"Призер",Обществознание!$J$1:$J$1000,"имеются")</f>
        <v>0</v>
      </c>
      <c r="BG28" s="2">
        <f>COUNTIFS(Обществознание!$H$1:$H$1000,9,Обществознание!$N$1:$N$1000,"Победитель",Обществознание!$J$1:$J$1000,"имеются")</f>
        <v>0</v>
      </c>
      <c r="BH28" s="2">
        <f>COUNTIF(Обществознание!$H$1:$H$1000,10)</f>
        <v>14</v>
      </c>
      <c r="BI28" s="169">
        <f>COUNTIFS(Обществознание!$H$1:$H$1000,10,Обществознание!$G$1:$G$1000,"&lt;10")</f>
        <v>0</v>
      </c>
      <c r="BJ28" s="169">
        <f>COUNTIFS(Обществознание!$H$1:$H$1000,10,Обществознание!$J$1:$J$1000,"имеются")</f>
        <v>0</v>
      </c>
      <c r="BK28" s="2">
        <f>COUNTIFS(Обществознание!$H$1:$H$1000,10,Обществознание!$N$1:$N$1000,"Призер")</f>
        <v>2</v>
      </c>
      <c r="BL28" s="2">
        <f>COUNTIFS(Обществознание!$H$1:$H$1000,10,Обществознание!$N$1:$N$1000,"Победитель")</f>
        <v>0</v>
      </c>
      <c r="BM28" s="2">
        <f>COUNTIFS(Обществознание!$H$1:$H$1000,10,Обществознание!$N$1:$N$1000,"Победитель",Обществознание!$M$1:$M$1000,"100%")</f>
        <v>0</v>
      </c>
      <c r="BN28" s="2">
        <f>COUNTIFS(Обществознание!$H$1:$H$1000,10,Обществознание!$N$1:$N$1000,"Призер",Обществознание!$J$1:$J$1000,"имеются")</f>
        <v>0</v>
      </c>
      <c r="BO28" s="2">
        <f>COUNTIFS(Обществознание!$H$1:$H$1000,10,Обществознание!$N$1:$N$1000,"Победитель",Обществознание!$J$1:$J$1000,"имеются")</f>
        <v>0</v>
      </c>
      <c r="BP28" s="2">
        <f>COUNTIF(Обществознание!$H$1:$H$1000,11)</f>
        <v>8</v>
      </c>
      <c r="BQ28" s="169">
        <f>COUNTIFS(Обществознание!$H$1:$H$1000,11,Обществознание!$G$1:$G$1000,"&lt;11")</f>
        <v>0</v>
      </c>
      <c r="BR28" s="169">
        <f>COUNTIFS(Обществознание!$H$1:$H$1000,11,Обществознание!$J$1:$J$1000,"имеются")</f>
        <v>0</v>
      </c>
      <c r="BS28" s="2">
        <f>COUNTIFS(Обществознание!$H$1:$H$1000,11,Обществознание!$N$1:$N$1000,"Призер")</f>
        <v>1</v>
      </c>
      <c r="BT28" s="2">
        <f>COUNTIFS(Обществознание!$H$1:$H$1000,11,Обществознание!$N$1:$N$1000,"Победитель")</f>
        <v>1</v>
      </c>
      <c r="BU28" s="2">
        <f>COUNTIFS(Обществознание!$H$1:$H$1000,11,Обществознание!$N$1:$N$1000,"Победитель",Обществознание!$M$1:$M$1000,"100%")</f>
        <v>0</v>
      </c>
      <c r="BV28" s="2">
        <f>COUNTIFS(Обществознание!$H$1:$H$1000,11,Обществознание!$N$1:$N$1000,"Призер",Обществознание!$J$1:$J$1000,"имеются")</f>
        <v>0</v>
      </c>
      <c r="BW28" s="2">
        <f>COUNTIFS(Обществознание!$H$1:$H$1000,11,Обществознание!$N$1:$N$1000,"Победитель",Обществознание!$J$1:$J$1000,"имеются")</f>
        <v>0</v>
      </c>
      <c r="BX28" s="100">
        <f t="shared" si="1"/>
        <v>0.14864864864864866</v>
      </c>
    </row>
    <row r="29" spans="1:76">
      <c r="A29" s="34">
        <v>16</v>
      </c>
      <c r="B29" s="32" t="s">
        <v>18</v>
      </c>
      <c r="C29" s="15">
        <f t="shared" si="0"/>
        <v>1</v>
      </c>
      <c r="D29" s="2">
        <f t="shared" si="8"/>
        <v>12</v>
      </c>
      <c r="E29" s="2">
        <f t="shared" si="8"/>
        <v>0</v>
      </c>
      <c r="F29" s="2">
        <f t="shared" si="4"/>
        <v>0</v>
      </c>
      <c r="G29" s="2">
        <f>IF(SUM(W29,AE29,AM29,AU29,BC29,BK29,BS29)&lt;&gt;COUNTIF(Право!$N$1:$N$994,"Призер"),"Ошибка",SUM(W29,AE29,AM29,AU29,BC29,BK29,BS29))</f>
        <v>0</v>
      </c>
      <c r="H29" s="2">
        <f>IF(SUM(X29,AF29,AN29,AV29,BD29,BL29,BT29)&lt;&gt;COUNTIF(Право!$N$1:$N$994,"Победитель"),"Ошибка",SUM(X29,AF29,AN29,AV29,BD29,BL29,BT29))</f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/>
      <c r="M29" s="2"/>
      <c r="N29" s="2"/>
      <c r="O29" s="2"/>
      <c r="P29" s="2"/>
      <c r="Q29" s="2"/>
      <c r="R29" s="2"/>
      <c r="S29" s="2"/>
      <c r="T29" s="2">
        <f>COUNTIF(Право!$H$1:$H$994,5)</f>
        <v>0</v>
      </c>
      <c r="U29" s="169">
        <f>COUNTIFS(Право!$H$1:$H$994,5,Право!$G$1:$G$994,"&lt;5")</f>
        <v>0</v>
      </c>
      <c r="V29" s="169">
        <f>COUNTIFS(Право!$H$1:$H$994,5,Право!$J$1:$J$994,"имеются")</f>
        <v>0</v>
      </c>
      <c r="W29" s="2">
        <f>COUNTIFS(Право!$H$1:$H$994,5,Право!$N$1:$N$994,"Призер")</f>
        <v>0</v>
      </c>
      <c r="X29" s="2">
        <f>COUNTIFS(Право!$H$1:$H$994,5,Право!$N$1:$N$994,"Победитель")</f>
        <v>0</v>
      </c>
      <c r="Y29" s="2">
        <f>COUNTIFS(Право!$H$1:$H$994,5,Право!$N$1:$N$994,"Победитель",Право!$M$1:$M$994,"100%")</f>
        <v>0</v>
      </c>
      <c r="Z29" s="2">
        <f>COUNTIFS(Право!$H$1:$H$994,5,Право!$N$1:$N$994,"Призер",Право!$J$1:$J$994,"имеются")</f>
        <v>0</v>
      </c>
      <c r="AA29" s="2">
        <f>COUNTIFS(Право!$H$1:$H$994,5,Право!$N$1:$N$994,"Победитель",Право!$J$1:$J$994,"имеются")</f>
        <v>0</v>
      </c>
      <c r="AB29" s="2">
        <f>COUNTIF(Право!$H$1:$H$994,6)</f>
        <v>0</v>
      </c>
      <c r="AC29" s="169">
        <f>COUNTIFS(Право!$H$1:$H$994,6,Право!$G$1:$G$994,"&lt;6")</f>
        <v>0</v>
      </c>
      <c r="AD29" s="169">
        <f>COUNTIFS(Право!$H$1:$H$994,6,Право!$J$1:$J$994,"имеются")</f>
        <v>0</v>
      </c>
      <c r="AE29" s="2">
        <f>COUNTIFS(Право!$H$1:$H$994,6,Право!$N$1:$N$994,"Призер")</f>
        <v>0</v>
      </c>
      <c r="AF29" s="2">
        <f>COUNTIFS(Право!$H$1:$H$994,6,Право!$N$1:$N$994,"Победитель")</f>
        <v>0</v>
      </c>
      <c r="AG29" s="2">
        <f>COUNTIFS(Право!$H$1:$H$994,6,Право!$N$1:$N$994,"Победитель",Право!$M$1:$M$994,"100%")</f>
        <v>0</v>
      </c>
      <c r="AH29" s="2">
        <f>COUNTIFS(Право!$H$1:$H$994,6,Право!$N$1:$N$994,"Призер",Право!$J$1:$J$994,"имеются")</f>
        <v>0</v>
      </c>
      <c r="AI29" s="2">
        <f>COUNTIFS(Право!$H$1:$H$994,6,Право!$N$1:$N$994,"Победитель",Право!$J$1:$J$994,"имеются")</f>
        <v>0</v>
      </c>
      <c r="AJ29" s="2">
        <f>COUNTIF(Право!$H$1:$H$994,7)</f>
        <v>0</v>
      </c>
      <c r="AK29" s="169">
        <f>COUNTIFS(Право!$H$1:$H$994,7,Право!$G$1:$G$994,"&lt;7")</f>
        <v>0</v>
      </c>
      <c r="AL29" s="169">
        <f>COUNTIFS(Право!$H$1:$H$994,7,Право!$J$1:$J$994,"имеются")</f>
        <v>0</v>
      </c>
      <c r="AM29" s="2">
        <f>COUNTIFS(Право!$H$1:$H$994,7,Право!$N$1:$N$994,"Призер")</f>
        <v>0</v>
      </c>
      <c r="AN29" s="2">
        <f>COUNTIFS(Право!$H$1:$H$994,7,Право!$N$1:$N$994,"Победитель")</f>
        <v>0</v>
      </c>
      <c r="AO29" s="2">
        <f>COUNTIFS(Право!$H$1:$H$994,7,Право!$N$1:$N$994,"Победитель",Право!$M$1:$M$994,"100%")</f>
        <v>0</v>
      </c>
      <c r="AP29" s="2">
        <f>COUNTIFS(Право!$H$1:$H$994,7,Право!$N$1:$N$994,"Призер",Право!$J$1:$J$994,"имеются")</f>
        <v>0</v>
      </c>
      <c r="AQ29" s="2">
        <f>COUNTIFS(Право!$H$1:$H$994,7,Право!$N$1:$N$994,"Победитель",Право!$J$1:$J$994,"имеются")</f>
        <v>0</v>
      </c>
      <c r="AR29" s="2">
        <f>COUNTIF(Право!$H$1:$H$994,8)</f>
        <v>0</v>
      </c>
      <c r="AS29" s="169">
        <f>COUNTIFS(Право!$H$1:$H$994,8,Право!$G$1:$G$994,"&lt;8")</f>
        <v>0</v>
      </c>
      <c r="AT29" s="169">
        <f>COUNTIFS(Право!$H$1:$H$994,8,Право!$J$1:$J$994,"имеются")</f>
        <v>0</v>
      </c>
      <c r="AU29" s="2">
        <f>COUNTIFS(Право!$H$1:$H$994,8,Право!$N$1:$N$994,"Призер")</f>
        <v>0</v>
      </c>
      <c r="AV29" s="2">
        <f>COUNTIFS(Право!$H$1:$H$994,8,Право!$N$1:$N$994,"Победитель")</f>
        <v>0</v>
      </c>
      <c r="AW29" s="2">
        <f>COUNTIFS(Право!$H$1:$H$994,8,Право!$N$1:$N$994,"Победитель",Право!$M$1:$M$994,"100%")</f>
        <v>0</v>
      </c>
      <c r="AX29" s="2">
        <f>COUNTIFS(Право!$H$1:$H$994,8,Право!$N$1:$N$994,"Призер",Право!$J$1:$J$994,"имеются")</f>
        <v>0</v>
      </c>
      <c r="AY29" s="2">
        <f>COUNTIFS(Право!$H$1:$H$994,8,Право!$N$1:$N$994,"Победитель",Право!$J$1:$J$994,"имеются")</f>
        <v>0</v>
      </c>
      <c r="AZ29" s="2">
        <f>COUNTIF(Право!$H$1:$H$994,9)</f>
        <v>0</v>
      </c>
      <c r="BA29" s="169">
        <f>COUNTIFS(Право!$H$1:$H$994,9,Право!$G$1:$G$994,"&lt;9")</f>
        <v>0</v>
      </c>
      <c r="BB29" s="169">
        <f>COUNTIFS(Право!$H$1:$H$994,9,Право!$J$1:$J$994,"имеются")</f>
        <v>0</v>
      </c>
      <c r="BC29" s="2">
        <f>COUNTIFS(Право!$H$1:$H$994,9,Право!$N$1:$N$994,"Призер")</f>
        <v>0</v>
      </c>
      <c r="BD29" s="2">
        <f>COUNTIFS(Право!$H$1:$H$994,9,Право!$N$1:$N$994,"Победитель")</f>
        <v>0</v>
      </c>
      <c r="BE29" s="2">
        <f>COUNTIFS(Право!$H$1:$H$994,9,Право!$N$1:$N$994,"Победитель",Право!$M$1:$M$994,"100%")</f>
        <v>0</v>
      </c>
      <c r="BF29" s="2">
        <f>COUNTIFS(Право!$H$1:$H$994,9,Право!$N$1:$N$994,"Призер",Право!$J$1:$J$994,"имеются")</f>
        <v>0</v>
      </c>
      <c r="BG29" s="2">
        <f>COUNTIFS(Право!$H$1:$H$994,9,Право!$N$1:$N$994,"Победитель",Право!$J$1:$J$994,"имеются")</f>
        <v>0</v>
      </c>
      <c r="BH29" s="2">
        <f>COUNTIF(Право!$H$1:$H$994,10)</f>
        <v>8</v>
      </c>
      <c r="BI29" s="169">
        <f>COUNTIFS(Право!$H$1:$H$994,10,Право!$G$1:$G$994,"&lt;10")</f>
        <v>0</v>
      </c>
      <c r="BJ29" s="169">
        <f>COUNTIFS(Право!$H$1:$H$994,10,Право!$J$1:$J$994,"имеются")</f>
        <v>0</v>
      </c>
      <c r="BK29" s="2">
        <f>COUNTIFS(Право!$H$1:$H$994,10,Право!$N$1:$N$994,"Призер")</f>
        <v>0</v>
      </c>
      <c r="BL29" s="2">
        <f>COUNTIFS(Право!$H$1:$H$994,10,Право!$N$1:$N$994,"Победитель")</f>
        <v>0</v>
      </c>
      <c r="BM29" s="2">
        <f>COUNTIFS(Право!$H$1:$H$994,10,Право!$N$1:$N$994,"Победитель",Право!$M$1:$M$994,"100%")</f>
        <v>0</v>
      </c>
      <c r="BN29" s="2">
        <f>COUNTIFS(Право!$H$1:$H$994,10,Право!$N$1:$N$994,"Призер",Право!$J$1:$J$994,"имеются")</f>
        <v>0</v>
      </c>
      <c r="BO29" s="2">
        <f>COUNTIFS(Право!$H$1:$H$994,10,Право!$N$1:$N$994,"Победитель",Право!$J$1:$J$994,"имеются")</f>
        <v>0</v>
      </c>
      <c r="BP29" s="2">
        <f>COUNTIF(Право!$H$1:$H$994,11)</f>
        <v>4</v>
      </c>
      <c r="BQ29" s="169">
        <f>COUNTIFS(Право!$H$1:$H$994,11,Право!$G$1:$G$994,"&lt;11")</f>
        <v>0</v>
      </c>
      <c r="BR29" s="169">
        <f>COUNTIFS(Право!$H$1:$H$994,11,Право!$J$1:$J$994,"имеются")</f>
        <v>0</v>
      </c>
      <c r="BS29" s="2">
        <f>COUNTIFS(Право!$H$1:$H$994,11,Право!$N$1:$N$994,"Призер")</f>
        <v>0</v>
      </c>
      <c r="BT29" s="2">
        <f>COUNTIFS(Право!$H$1:$H$994,11,Право!$N$1:$N$994,"Победитель")</f>
        <v>0</v>
      </c>
      <c r="BU29" s="2">
        <f>COUNTIFS(Право!$H$1:$H$994,11,Право!$N$1:$N$994,"Победитель",Право!$M$1:$M$994,"100%")</f>
        <v>0</v>
      </c>
      <c r="BV29" s="2">
        <f>COUNTIFS(Право!$H$1:$H$994,11,Право!$N$1:$N$994,"Призер",Право!$J$1:$J$994,"имеются")</f>
        <v>0</v>
      </c>
      <c r="BW29" s="2">
        <f>COUNTIFS(Право!$H$1:$H$994,11,Право!$N$1:$N$994,"Победитель",Право!$J$1:$J$994,"имеются")</f>
        <v>0</v>
      </c>
      <c r="BX29" s="100">
        <f t="shared" si="1"/>
        <v>0</v>
      </c>
    </row>
    <row r="30" spans="1:76">
      <c r="A30" s="34">
        <v>17</v>
      </c>
      <c r="B30" s="32" t="s">
        <v>9</v>
      </c>
      <c r="C30" s="15">
        <f t="shared" si="0"/>
        <v>1</v>
      </c>
      <c r="D30" s="2">
        <f>L30+T30+AB30+AJ30+AR30+AZ30+BH30+BP30</f>
        <v>113</v>
      </c>
      <c r="E30" s="2">
        <f>M30+U30+AC30+AK30+AS30+BA30+BI30+BQ30</f>
        <v>0</v>
      </c>
      <c r="F30" s="2">
        <f>N30+V30+AD30+AL30+AT30+BB30+BJ30+BR30</f>
        <v>0</v>
      </c>
      <c r="G30" s="2">
        <f>IF(SUM(O30,W30,AE30,AM30,AU30,BC30,BK30,BS30)&lt;&gt;COUNTIF(Русский_язык!$N$1:$N$1000,"Призер"),"Ошибка",SUM(O30,W30,AE30,AM30,AU30,BC30,BK30,BS30))</f>
        <v>7</v>
      </c>
      <c r="H30" s="2">
        <f>IF(SUM(P30,X30,AF30,AN30,AV30,BD30,BL30,BT30)&lt;&gt;COUNTIF(Русский_язык!$N$1:$N$1000,"Победитель"),"Ошибка",SUM(P30,X30,AF30,AN30,AV30,BD30,BL30,BT30))</f>
        <v>2</v>
      </c>
      <c r="I30" s="2">
        <f t="shared" ref="I30:K31" si="10">Y30+AG30+AO30+AW30+BE30+BM30+BU30</f>
        <v>0</v>
      </c>
      <c r="J30" s="2">
        <f t="shared" si="10"/>
        <v>0</v>
      </c>
      <c r="K30" s="2">
        <f t="shared" si="10"/>
        <v>0</v>
      </c>
      <c r="L30" s="2">
        <f>COUNTIF(Русский_язык!$H$1:$H$1000,4)</f>
        <v>27</v>
      </c>
      <c r="M30" s="169">
        <f>COUNTIFS(Русский_язык!$H$1:$H$1000,4,Русский_язык!$G$1:$G$1000,"&lt;4")</f>
        <v>0</v>
      </c>
      <c r="N30" s="169">
        <f>COUNTIFS(Русский_язык!$H$1:$H$1000,4,Русский_язык!$J$1:$J$1000,"имеются")</f>
        <v>0</v>
      </c>
      <c r="O30" s="2">
        <f>COUNTIFS(Русский_язык!$H$1:$H$1000,4,Русский_язык!$N$1:$N$1000,"Призер")</f>
        <v>0</v>
      </c>
      <c r="P30" s="2">
        <f>COUNTIFS(Русский_язык!$H$1:$H$1000,4,Русский_язык!$N$1:$N$1000,"Победитель")</f>
        <v>0</v>
      </c>
      <c r="Q30" s="2">
        <f>COUNTIFS(Русский_язык!$H$1:$H$1000,4,Русский_язык!$N$1:$N$1000,"Победитель",Русский_язык!$M$1:$M$1000,"100%")</f>
        <v>0</v>
      </c>
      <c r="R30" s="2">
        <f>COUNTIFS(Русский_язык!$H$1:$H$1000,4,Русский_язык!$N$1:$N$1000,"Призер",Русский_язык!$J$1:$J$1000,"имеются")</f>
        <v>0</v>
      </c>
      <c r="S30" s="2">
        <f>COUNTIFS(Русский_язык!$H$1:$H$1000,4,Русский_язык!$N$1:$N$1000,"Победитель",Русский_язык!$M$1:$M$1000,"100%")</f>
        <v>0</v>
      </c>
      <c r="T30" s="2">
        <f>COUNTIF(Русский_язык!$H$1:$H$1000,5)</f>
        <v>17</v>
      </c>
      <c r="U30" s="169">
        <f>COUNTIFS(Русский_язык!$H$1:$H$1000,5,Русский_язык!$G$1:$G$1000,"&lt;5")</f>
        <v>0</v>
      </c>
      <c r="V30" s="169">
        <f>COUNTIFS(Русский_язык!$H$1:$H$1000,5,Русский_язык!$J$1:$J$1000,"имеются")</f>
        <v>0</v>
      </c>
      <c r="W30" s="2">
        <f>COUNTIFS(Русский_язык!$H$1:$H$1000,5,Русский_язык!$N$1:$N$1000,"Призер")</f>
        <v>2</v>
      </c>
      <c r="X30" s="2">
        <f>COUNTIFS(Русский_язык!$H$1:$H$1000,5,Русский_язык!$N$1:$N$1000,"Победитель")</f>
        <v>0</v>
      </c>
      <c r="Y30" s="2">
        <f>COUNTIFS(Русский_язык!$H$1:$H$1000,5,Русский_язык!$N$1:$N$1000,"Победитель",Русский_язык!$M$1:$M$1000,"100%")</f>
        <v>0</v>
      </c>
      <c r="Z30" s="2">
        <f>COUNTIFS(Русский_язык!$H$1:$H$1000,5,Русский_язык!$N$1:$N$1000,"Призер",Русский_язык!$J$1:$J$1000,"имеются")</f>
        <v>0</v>
      </c>
      <c r="AA30" s="2">
        <f>COUNTIFS(Русский_язык!$H$1:$H$1000,5,Русский_язык!$N$1:$N$1000,"Победитель",Русский_язык!$J$1:$J$1000,"имеются")</f>
        <v>0</v>
      </c>
      <c r="AB30" s="2">
        <f>COUNTIF(Русский_язык!$H$1:$H$1000,6)</f>
        <v>16</v>
      </c>
      <c r="AC30" s="169">
        <f>COUNTIFS(Русский_язык!$H$1:$H$1000,6,Русский_язык!$G$1:$G$1000,"&lt;6")</f>
        <v>0</v>
      </c>
      <c r="AD30" s="169">
        <f>COUNTIFS(Русский_язык!$H$1:$H$1000,6,Русский_язык!$J$1:$J$1000,"имеются")</f>
        <v>0</v>
      </c>
      <c r="AE30" s="2">
        <f>COUNTIFS(Русский_язык!$H$1:$H$1000,6,Русский_язык!$N$1:$N$1000,"Призер")</f>
        <v>1</v>
      </c>
      <c r="AF30" s="2">
        <f>COUNTIFS(Русский_язык!$H$1:$H$1000,6,Русский_язык!$N$1:$N$1000,"Победитель")</f>
        <v>0</v>
      </c>
      <c r="AG30" s="2">
        <f>COUNTIFS(Русский_язык!$H$1:$H$1000,6,Русский_язык!$N$1:$N$1000,"Победитель",Русский_язык!$M$1:$M$1000,"100%")</f>
        <v>0</v>
      </c>
      <c r="AH30" s="2">
        <f>COUNTIFS(Русский_язык!$H$1:$H$1000,6,Русский_язык!$N$1:$N$1000,"Призер",Русский_язык!$J$1:$J$1000,"имеются")</f>
        <v>0</v>
      </c>
      <c r="AI30" s="2">
        <f>COUNTIFS(Русский_язык!$H$1:$H$1000,6,Русский_язык!$N$1:$N$1000,"Победитель",Русский_язык!$J$1:$J$1000,"имеются")</f>
        <v>0</v>
      </c>
      <c r="AJ30" s="2">
        <f>COUNTIF(Русский_язык!$H$1:$H$1000,7)</f>
        <v>9</v>
      </c>
      <c r="AK30" s="169">
        <f>COUNTIFS(Русский_язык!$H$1:$H$1000,7,Русский_язык!$G$1:$G$1000,"&lt;7")</f>
        <v>0</v>
      </c>
      <c r="AL30" s="169">
        <f>COUNTIFS(Русский_язык!$H$1:$H$1000,7,Русский_язык!$J$1:$J$1000,"имеются")</f>
        <v>0</v>
      </c>
      <c r="AM30" s="2">
        <f>COUNTIFS(Русский_язык!$H$1:$H$1000,7,Русский_язык!$N$1:$N$1000,"Призер")</f>
        <v>1</v>
      </c>
      <c r="AN30" s="2">
        <f>COUNTIFS(Русский_язык!$H$1:$H$1000,7,Русский_язык!$N$1:$N$1000,"Победитель")</f>
        <v>1</v>
      </c>
      <c r="AO30" s="2">
        <f>COUNTIFS(Русский_язык!$H$1:$H$1000,7,Русский_язык!$N$1:$N$1000,"Победитель",Русский_язык!$M$1:$M$1000,"100%")</f>
        <v>0</v>
      </c>
      <c r="AP30" s="2">
        <f>COUNTIFS(Русский_язык!$H$1:$H$1000,7,Русский_язык!$N$1:$N$1000,"Призер",Русский_язык!$J$1:$J$1000,"имеются")</f>
        <v>0</v>
      </c>
      <c r="AQ30" s="2">
        <f>COUNTIFS(Русский_язык!$H$1:$H$1000,7,Русский_язык!$N$1:$N$1000,"Победитель",Русский_язык!$J$1:$J$1000,"имеются")</f>
        <v>0</v>
      </c>
      <c r="AR30" s="2">
        <f>COUNTIF(Русский_язык!$H$1:$H$1000,8)</f>
        <v>11</v>
      </c>
      <c r="AS30" s="169">
        <f>COUNTIFS(Русский_язык!$H$1:$H$1000,8,Русский_язык!$G$1:$G$1000,"&lt;8")</f>
        <v>0</v>
      </c>
      <c r="AT30" s="169">
        <f>COUNTIFS(Русский_язык!$H$1:$H$1000,8,Русский_язык!$J$1:$J$1000,"имеются")</f>
        <v>0</v>
      </c>
      <c r="AU30" s="2">
        <f>COUNTIFS(Русский_язык!$H$1:$H$1000,8,Русский_язык!$N$1:$N$1000,"Призер")</f>
        <v>0</v>
      </c>
      <c r="AV30" s="2">
        <f>COUNTIFS(Русский_язык!$H$1:$H$1000,8,Русский_язык!$N$1:$N$1000,"Победитель")</f>
        <v>0</v>
      </c>
      <c r="AW30" s="2">
        <f>COUNTIFS(Русский_язык!$H$1:$H$1000,8,Русский_язык!$N$1:$N$1000,"Победитель",Русский_язык!$M$1:$M$1000,"100%")</f>
        <v>0</v>
      </c>
      <c r="AX30" s="2">
        <f>COUNTIFS(Русский_язык!$H$1:$H$1000,8,Русский_язык!$N$1:$N$1000,"Призер",Русский_язык!$J$1:$J$1000,"имеются")</f>
        <v>0</v>
      </c>
      <c r="AY30" s="2">
        <f>COUNTIFS(Русский_язык!$H$1:$H$1000,8,Русский_язык!$N$1:$N$1000,"Победитель",Русский_язык!$J$1:$J$1000,"имеются")</f>
        <v>0</v>
      </c>
      <c r="AZ30" s="2">
        <f>COUNTIF(Русский_язык!$H$1:$H$1000,9)</f>
        <v>19</v>
      </c>
      <c r="BA30" s="169">
        <f>COUNTIFS(Русский_язык!$H$1:$H$1000,9,Русский_язык!$G$1:$G$1000,"&lt;9")</f>
        <v>0</v>
      </c>
      <c r="BB30" s="169">
        <f>COUNTIFS(Русский_язык!$H$1:$H$1000,9,Русский_язык!$J$1:$J$1000,"имеются")</f>
        <v>0</v>
      </c>
      <c r="BC30" s="2">
        <f>COUNTIFS(Русский_язык!$H$1:$H$1000,9,Русский_язык!$N$1:$N$1000,"Призер")</f>
        <v>2</v>
      </c>
      <c r="BD30" s="2">
        <f>COUNTIFS(Русский_язык!$H$1:$H$1000,9,Русский_язык!$N$1:$N$1000,"Победитель")</f>
        <v>1</v>
      </c>
      <c r="BE30" s="2">
        <f>COUNTIFS(Русский_язык!$H$1:$H$1000,9,Русский_язык!$N$1:$N$1000,"Победитель",Русский_язык!$M$1:$M$1000,"100%")</f>
        <v>0</v>
      </c>
      <c r="BF30" s="2">
        <f>COUNTIFS(Русский_язык!$H$1:$H$1000,9,Русский_язык!$N$1:$N$1000,"Призер",Русский_язык!$J$1:$J$1000,"имеются")</f>
        <v>0</v>
      </c>
      <c r="BG30" s="2">
        <f>COUNTIFS(Русский_язык!$H$1:$H$1000,9,Русский_язык!$N$1:$N$1000,"Победитель",Русский_язык!$J$1:$J$1000,"имеются")</f>
        <v>0</v>
      </c>
      <c r="BH30" s="2">
        <f>COUNTIF(Русский_язык!$H$1:$H$1000,10)</f>
        <v>3</v>
      </c>
      <c r="BI30" s="169">
        <f>COUNTIFS(Русский_язык!$H$1:$H$1000,10,Русский_язык!$G$1:$G$1000,"&lt;10")</f>
        <v>0</v>
      </c>
      <c r="BJ30" s="169">
        <f>COUNTIFS(Русский_язык!$H$1:$H$1000,10,Русский_язык!$J$1:$J$1000,"имеются")</f>
        <v>0</v>
      </c>
      <c r="BK30" s="2">
        <f>COUNTIFS(Русский_язык!$H$1:$H$1000,10,Русский_язык!$N$1:$N$1000,"Призер")</f>
        <v>0</v>
      </c>
      <c r="BL30" s="2">
        <f>COUNTIFS(Русский_язык!$H$1:$H$1000,10,Русский_язык!$N$1:$N$1000,"Победитель")</f>
        <v>0</v>
      </c>
      <c r="BM30" s="2">
        <f>COUNTIFS(Русский_язык!$H$1:$H$1000,10,Русский_язык!$N$1:$N$1000,"Победитель",Русский_язык!$M$1:$M$1000,"100%")</f>
        <v>0</v>
      </c>
      <c r="BN30" s="2">
        <f>COUNTIFS(Русский_язык!$H$1:$H$1000,10,Русский_язык!$N$1:$N$1000,"Призер",Русский_язык!$J$1:$J$1000,"имеются")</f>
        <v>0</v>
      </c>
      <c r="BO30" s="2">
        <f>COUNTIFS(Русский_язык!$H$1:$H$1000,10,Русский_язык!$N$1:$N$1000,"Победитель",Русский_язык!$J$1:$J$1000,"имеются")</f>
        <v>0</v>
      </c>
      <c r="BP30" s="2">
        <f>COUNTIF(Русский_язык!$H$1:$H$1000,11)</f>
        <v>11</v>
      </c>
      <c r="BQ30" s="169">
        <f>COUNTIFS(Русский_язык!$H$1:$H$1000,11,Русский_язык!$G$1:$G$1000,"&lt;11")</f>
        <v>0</v>
      </c>
      <c r="BR30" s="169">
        <f>COUNTIFS(Русский_язык!$H$1:$H$1000,11,Русский_язык!$J$1:$J$1000,"имеются")</f>
        <v>0</v>
      </c>
      <c r="BS30" s="2">
        <f>COUNTIFS(Русский_язык!$H$1:$H$1000,11,Русский_язык!$N$1:$N$1000,"Призер")</f>
        <v>1</v>
      </c>
      <c r="BT30" s="2">
        <f>COUNTIFS(Русский_язык!$H$1:$H$1000,11,Русский_язык!$N$1:$N$1000,"Победитель")</f>
        <v>0</v>
      </c>
      <c r="BU30" s="2">
        <f>COUNTIFS(Русский_язык!$H$1:$H$1000,11,Русский_язык!$N$1:$N$1000,"Победитель",Русский_язык!$M$1:$M$1000,"100%")</f>
        <v>0</v>
      </c>
      <c r="BV30" s="2">
        <f>COUNTIFS(Русский_язык!$H$1:$H$1000,11,Русский_язык!$N$1:$N$1000,"Призер",Русский_язык!$J$1:$J$1000,"имеются")</f>
        <v>0</v>
      </c>
      <c r="BW30" s="2">
        <f>COUNTIFS(Русский_язык!$H$1:$H$1000,11,Русский_язык!$N$1:$N$1000,"Победитель",Русский_язык!$J$1:$J$1000,"имеются")</f>
        <v>0</v>
      </c>
      <c r="BX30" s="100">
        <f t="shared" si="1"/>
        <v>7.9646017699115043E-2</v>
      </c>
    </row>
    <row r="31" spans="1:76">
      <c r="A31" s="34">
        <v>18</v>
      </c>
      <c r="B31" s="32" t="s">
        <v>16</v>
      </c>
      <c r="C31" s="15">
        <f t="shared" si="0"/>
        <v>1</v>
      </c>
      <c r="D31" s="2">
        <f t="shared" ref="D31:E37" si="11">T31+AB31+AJ31+AR31+AZ31+BH31+BP31</f>
        <v>16</v>
      </c>
      <c r="E31" s="2">
        <f t="shared" si="11"/>
        <v>0</v>
      </c>
      <c r="F31" s="2">
        <f t="shared" si="4"/>
        <v>0</v>
      </c>
      <c r="G31" s="2">
        <f>IF(SUM(W31,AE31,AM31,AU31,BC31,BK31,BS31)&lt;&gt;COUNTIF(Технология!$N$1:$N$1000,"Призер"),"Ошибка",SUM(W31,AE31,AM31,AU31,BC31,BK31,BS31))</f>
        <v>2</v>
      </c>
      <c r="H31" s="2">
        <f>IF(SUM(X31,AF31,AN31,AV31,BD31,BL31,BT31)&lt;&gt;COUNTIF(Технология!$N$1:$N$1000,"Победитель"),"Ошибка",SUM(X31,AF31,AN31,AV31,BD31,BL31,BT31))</f>
        <v>2</v>
      </c>
      <c r="I31" s="2">
        <f t="shared" si="10"/>
        <v>0</v>
      </c>
      <c r="J31" s="2">
        <f t="shared" si="10"/>
        <v>0</v>
      </c>
      <c r="K31" s="2">
        <f t="shared" si="10"/>
        <v>0</v>
      </c>
      <c r="L31" s="2"/>
      <c r="M31" s="2"/>
      <c r="N31" s="2"/>
      <c r="O31" s="2"/>
      <c r="P31" s="2"/>
      <c r="Q31" s="2"/>
      <c r="R31" s="2"/>
      <c r="S31" s="2"/>
      <c r="T31" s="2">
        <f>COUNTIF(Технология!$H$1:$H$1000,5)</f>
        <v>0</v>
      </c>
      <c r="U31" s="169">
        <f>COUNTIFS(Технология!$H$1:$H$1000,5,Технология!$G$1:$G$1000,"&lt;5")</f>
        <v>0</v>
      </c>
      <c r="V31" s="169">
        <f>COUNTIFS(Технология!$H$1:$H$1000,5,Технология!$J$1:$J$1000,"имеются")</f>
        <v>0</v>
      </c>
      <c r="W31" s="2">
        <f>COUNTIFS(Технология!$H$1:$H$1000,5,Технология!$N$1:$N$1000,"Призер")</f>
        <v>0</v>
      </c>
      <c r="X31" s="2">
        <f>COUNTIFS(Технология!$H$1:$H$1000,5,Технология!$N$1:$N$1000,"Победитель")</f>
        <v>0</v>
      </c>
      <c r="Y31" s="2">
        <f>COUNTIFS(Технология!$H$1:$H$1000,5,Технология!$N$1:$N$1000,"Победитель",Технология!$M$1:$M$1000,"100%")</f>
        <v>0</v>
      </c>
      <c r="Z31" s="2">
        <f>COUNTIFS(Технология!$H$1:$H$1000,5,Технология!$N$1:$N$1000,"Призер",Технология!$J$1:$J$1000,"имеются")</f>
        <v>0</v>
      </c>
      <c r="AA31" s="2">
        <f>COUNTIFS(Технология!$H$1:$H$1000,5,Технология!$N$1:$N$1000,"Победитель",Технология!$J$1:$J$1000,"имеются")</f>
        <v>0</v>
      </c>
      <c r="AB31" s="2">
        <f>COUNTIF(Технология!$H$1:$H$1000,6)</f>
        <v>7</v>
      </c>
      <c r="AC31" s="169">
        <f>COUNTIFS(Технология!$H$1:$H$1000,6,Технология!$G$1:$G$1000,"&lt;6")</f>
        <v>0</v>
      </c>
      <c r="AD31" s="169">
        <f>COUNTIFS(Технология!$H$1:$H$1000,6,Технология!$J$1:$J$1000,"имеются")</f>
        <v>0</v>
      </c>
      <c r="AE31" s="2">
        <f>COUNTIFS(Технология!$H$1:$H$1000,6,Технология!$N$1:$N$1000,"Призер")</f>
        <v>1</v>
      </c>
      <c r="AF31" s="2">
        <f>COUNTIFS(Технология!$H$1:$H$1000,6,Технология!$N$1:$N$1000,"Победитель")</f>
        <v>1</v>
      </c>
      <c r="AG31" s="2">
        <f>COUNTIFS(Технология!$H$1:$H$1000,6,Технология!$N$1:$N$1000,"Победитель",Технология!$M$1:$M$1000,"100%")</f>
        <v>0</v>
      </c>
      <c r="AH31" s="2">
        <f>COUNTIFS(Технология!$H$1:$H$1000,6,Технология!$N$1:$N$1000,"Призер",Технология!$J$1:$J$1000,"имеются")</f>
        <v>0</v>
      </c>
      <c r="AI31" s="2">
        <f>COUNTIFS(Технология!$H$1:$H$1000,6,Технология!$N$1:$N$1000,"Победитель",Технология!$J$1:$J$1000,"имеются")</f>
        <v>0</v>
      </c>
      <c r="AJ31" s="2">
        <f>COUNTIF(Технология!$H$1:$H$1000,7)</f>
        <v>3</v>
      </c>
      <c r="AK31" s="169">
        <f>COUNTIFS(Технология!$H$1:$H$1000,7,Технология!$G$1:$G$1000,"&lt;7")</f>
        <v>0</v>
      </c>
      <c r="AL31" s="169">
        <f>COUNTIFS(Технология!$H$1:$H$1000,7,Технология!$J$1:$J$1000,"имеются")</f>
        <v>0</v>
      </c>
      <c r="AM31" s="2">
        <f>COUNTIFS(Технология!$H$1:$H$1000,7,Технология!$N$1:$N$1000,"Призер")</f>
        <v>0</v>
      </c>
      <c r="AN31" s="2">
        <f>COUNTIFS(Технология!$H$1:$H$1000,7,Технология!$N$1:$N$1000,"Победитель")</f>
        <v>0</v>
      </c>
      <c r="AO31" s="2">
        <f>COUNTIFS(Технология!$H$1:$H$1000,7,Технология!$N$1:$N$1000,"Победитель",Технология!$M$1:$M$1000,"100%")</f>
        <v>0</v>
      </c>
      <c r="AP31" s="2">
        <f>COUNTIFS(Технология!$H$1:$H$1000,7,Технология!$N$1:$N$1000,"Призер",Технология!$J$1:$J$1000,"имеются")</f>
        <v>0</v>
      </c>
      <c r="AQ31" s="2">
        <f>COUNTIFS(Технология!$H$1:$H$1000,7,Технология!$N$1:$N$1000,"Победитель",Технология!$J$1:$J$1000,"имеются")</f>
        <v>0</v>
      </c>
      <c r="AR31" s="2">
        <f>COUNTIF(Технология!$H$1:$H$1000,8)</f>
        <v>6</v>
      </c>
      <c r="AS31" s="169">
        <f>COUNTIFS(Технология!$H$1:$H$1000,8,Технология!$G$1:$G$1000,"&lt;8")</f>
        <v>0</v>
      </c>
      <c r="AT31" s="169">
        <f>COUNTIFS(Технология!$H$1:$H$1000,8,Технология!$J$1:$J$1000,"имеются")</f>
        <v>0</v>
      </c>
      <c r="AU31" s="2">
        <f>COUNTIFS(Технология!$H$1:$H$1000,8,Технология!$N$1:$N$1000,"Призер")</f>
        <v>1</v>
      </c>
      <c r="AV31" s="2">
        <f>COUNTIFS(Технология!$H$1:$H$1000,8,Технология!$N$1:$N$1000,"Победитель")</f>
        <v>1</v>
      </c>
      <c r="AW31" s="2">
        <f>COUNTIFS(Технология!$H$1:$H$1000,8,Технология!$N$1:$N$1000,"Победитель",Технология!$M$1:$M$1000,"100%")</f>
        <v>0</v>
      </c>
      <c r="AX31" s="2">
        <f>COUNTIFS(Технология!$H$1:$H$1000,8,Технология!$N$1:$N$1000,"Призер",Технология!$J$1:$J$1000,"имеются")</f>
        <v>0</v>
      </c>
      <c r="AY31" s="2">
        <f>COUNTIFS(Технология!$H$1:$H$1000,8,Технология!$N$1:$N$1000,"Победитель",Технология!$J$1:$J$1000,"имеются")</f>
        <v>0</v>
      </c>
      <c r="AZ31" s="2">
        <f>COUNTIF(Технология!$H$1:$H$1000,9)</f>
        <v>0</v>
      </c>
      <c r="BA31" s="169">
        <f>COUNTIFS(Технология!$H$1:$H$1000,9,Технология!$G$1:$G$1000,"&lt;9")</f>
        <v>0</v>
      </c>
      <c r="BB31" s="169">
        <f>COUNTIFS(Технология!$H$1:$H$1000,9,Технология!$J$1:$J$1000,"имеются")</f>
        <v>0</v>
      </c>
      <c r="BC31" s="2">
        <f>COUNTIFS(Технология!$H$1:$H$1000,9,Технология!$N$1:$N$1000,"Призер")</f>
        <v>0</v>
      </c>
      <c r="BD31" s="2">
        <f>COUNTIFS(Технология!$H$1:$H$1000,9,Технология!$N$1:$N$1000,"Победитель")</f>
        <v>0</v>
      </c>
      <c r="BE31" s="2">
        <f>COUNTIFS(Технология!$H$1:$H$1000,9,Технология!$N$1:$N$1000,"Победитель",Технология!$M$1:$M$1000,"100%")</f>
        <v>0</v>
      </c>
      <c r="BF31" s="2">
        <f>COUNTIFS(Технология!$H$1:$H$1000,9,Технология!$N$1:$N$1000,"Призер",Технология!$J$1:$J$1000,"имеются")</f>
        <v>0</v>
      </c>
      <c r="BG31" s="2">
        <f>COUNTIFS(Технология!$H$1:$H$1000,9,Технология!$N$1:$N$1000,"Победитель",Технология!$J$1:$J$1000,"имеются")</f>
        <v>0</v>
      </c>
      <c r="BH31" s="2">
        <f>COUNTIF(Технология!$H$1:$H$1000,10)</f>
        <v>0</v>
      </c>
      <c r="BI31" s="169">
        <f>COUNTIFS(Технология!$H$1:$H$1000,10,Технология!$G$1:$G$1000,"&lt;10")</f>
        <v>0</v>
      </c>
      <c r="BJ31" s="169">
        <f>COUNTIFS(Технология!$H$1:$H$1000,10,Технология!$J$1:$J$1000,"имеются")</f>
        <v>0</v>
      </c>
      <c r="BK31" s="2">
        <f>COUNTIFS(Технология!$H$1:$H$1000,10,Технология!$N$1:$N$1000,"Призер")</f>
        <v>0</v>
      </c>
      <c r="BL31" s="2">
        <f>COUNTIFS(Технология!$H$1:$H$1000,10,Технология!$N$1:$N$1000,"Победитель")</f>
        <v>0</v>
      </c>
      <c r="BM31" s="2">
        <f>COUNTIFS(Технология!$H$1:$H$1000,10,Технология!$N$1:$N$1000,"Победитель",Технология!$M$1:$M$1000,"100%")</f>
        <v>0</v>
      </c>
      <c r="BN31" s="2">
        <f>COUNTIFS(Технология!$H$1:$H$1000,10,Технология!$N$1:$N$1000,"Призер",Технология!$J$1:$J$1000,"имеются")</f>
        <v>0</v>
      </c>
      <c r="BO31" s="2">
        <f>COUNTIFS(Технология!$H$1:$H$1000,10,Технология!$N$1:$N$1000,"Победитель",Технология!$J$1:$J$1000,"имеются")</f>
        <v>0</v>
      </c>
      <c r="BP31" s="2">
        <f>COUNTIF(Технология!$H$1:$H$1000,11)</f>
        <v>0</v>
      </c>
      <c r="BQ31" s="169">
        <f>COUNTIFS(Технология!$H$1:$H$1000,11,Технология!$G$1:$G$1000,"&lt;11")</f>
        <v>0</v>
      </c>
      <c r="BR31" s="169">
        <f>COUNTIFS(Технология!$H$1:$H$1000,11,Технология!$J$1:$J$1000,"имеются")</f>
        <v>0</v>
      </c>
      <c r="BS31" s="2">
        <f>COUNTIFS(Технология!$H$1:$H$1000,11,Технология!$N$1:$N$1000,"Призер")</f>
        <v>0</v>
      </c>
      <c r="BT31" s="2">
        <f>COUNTIFS(Технология!$H$1:$H$1000,11,Технология!$N$1:$N$1000,"Победитель")</f>
        <v>0</v>
      </c>
      <c r="BU31" s="2">
        <f>COUNTIFS(Технология!$H$1:$H$1000,11,Технология!$N$1:$N$1000,"Победитель",Технология!$M$1:$M$1000,"100%")</f>
        <v>0</v>
      </c>
      <c r="BV31" s="2">
        <f>COUNTIFS(Технология!$H$1:$H$1000,11,Технология!$N$1:$N$1000,"Призер",Технология!$J$1:$J$1000,"имеются")</f>
        <v>0</v>
      </c>
      <c r="BW31" s="2">
        <f>COUNTIFS(Технология!$H$1:$H$1000,11,Технология!$N$1:$N$1000,"Победитель",Технология!$J$1:$J$1000,"имеются")</f>
        <v>0</v>
      </c>
      <c r="BX31" s="100">
        <f t="shared" si="1"/>
        <v>0.25</v>
      </c>
    </row>
    <row r="32" spans="1:76">
      <c r="A32" s="34">
        <v>19</v>
      </c>
      <c r="B32" s="32" t="s">
        <v>11</v>
      </c>
      <c r="C32" s="15">
        <f t="shared" si="0"/>
        <v>1</v>
      </c>
      <c r="D32" s="2">
        <f t="shared" si="11"/>
        <v>4</v>
      </c>
      <c r="E32" s="2">
        <f t="shared" si="11"/>
        <v>0</v>
      </c>
      <c r="F32" s="2">
        <f t="shared" si="4"/>
        <v>0</v>
      </c>
      <c r="G32" s="2">
        <f>IF(SUM(W32,AE32,AM32,AU32,BC32,BK32,BS32)&lt;&gt;COUNTIF(Физика!$N$1:$N$1000,"Призер"),"Ошибка",SUM(W32,AE32,AM32,AU32,BC32,BK32,BS32))</f>
        <v>0</v>
      </c>
      <c r="H32" s="2">
        <f>IF(SUM(X32,AF32,AN32,AV32,BD32,BL32,BT32)&lt;&gt;COUNTIF(Физика!$N$1:$N$1000,"Победитель"),"Ошибка",SUM(X32,AF32,AN32,AV32,BD32,BL32,BT32))</f>
        <v>0</v>
      </c>
      <c r="I32" s="2">
        <f t="shared" ref="I32:I37" si="12">Y32+AG32+AO32+AW32+BE32+BM32+BU32</f>
        <v>0</v>
      </c>
      <c r="J32" s="2">
        <f t="shared" ref="J32:J37" si="13">Z32+AH32+AP32+AX32+BF32+BN32+BV32</f>
        <v>0</v>
      </c>
      <c r="K32" s="2">
        <f t="shared" ref="K32:K37" si="14">AA32+AI32+AQ32+AY32+BG32+BO32+BW32</f>
        <v>0</v>
      </c>
      <c r="L32" s="2"/>
      <c r="M32" s="2"/>
      <c r="N32" s="2"/>
      <c r="O32" s="2"/>
      <c r="P32" s="2"/>
      <c r="Q32" s="2"/>
      <c r="R32" s="2"/>
      <c r="S32" s="2"/>
      <c r="T32" s="2">
        <f>COUNTIF(Физика!$H$1:$H$1000,5)</f>
        <v>0</v>
      </c>
      <c r="U32" s="169">
        <f>COUNTIFS(Физика!$H$1:$H$1000,5,Физика!$G$1:$G$1000,"&lt;5")</f>
        <v>0</v>
      </c>
      <c r="V32" s="169">
        <f>COUNTIFS(Физика!$H$1:$H$1000,5,Физика!$J$1:$J$1000,"имеются")</f>
        <v>0</v>
      </c>
      <c r="W32" s="2">
        <f>COUNTIFS(Физика!$H$1:$H$1000,5,Физика!$N$1:$N$1000,"Призер")</f>
        <v>0</v>
      </c>
      <c r="X32" s="2">
        <f>COUNTIFS(Физика!$H$1:$H$1000,5,Физика!$N$1:$N$1000,"Победитель")</f>
        <v>0</v>
      </c>
      <c r="Y32" s="2">
        <f>COUNTIFS(Физика!$H$1:$H$1000,5,Физика!$N$1:$N$1000,"Победитель",Физика!$M$1:$M$1000,"100%")</f>
        <v>0</v>
      </c>
      <c r="Z32" s="2">
        <f>COUNTIFS(Физика!$H$1:$H$1000,5,Физика!$N$1:$N$1000,"Призер",Физика!$J$1:$J$1000,"имеются")</f>
        <v>0</v>
      </c>
      <c r="AA32" s="2">
        <f>COUNTIFS(Физика!$H$1:$H$1000,5,Физика!$N$1:$N$1000,"Победитель",Физика!$J$1:$J$1000,"имеются")</f>
        <v>0</v>
      </c>
      <c r="AB32" s="2">
        <f>COUNTIF(Физика!$H$1:$H$1000,6)</f>
        <v>0</v>
      </c>
      <c r="AC32" s="169">
        <f>COUNTIFS(Физика!$H$1:$H$1000,6,Физика!$G$1:$G$1000,"&lt;6")</f>
        <v>0</v>
      </c>
      <c r="AD32" s="169">
        <f>COUNTIFS(Физика!$H$1:$H$1000,6,Физика!$J$1:$J$1000,"имеются")</f>
        <v>0</v>
      </c>
      <c r="AE32" s="2">
        <f>COUNTIFS(Физика!$H$1:$H$1000,6,Физика!$N$1:$N$1000,"Призер")</f>
        <v>0</v>
      </c>
      <c r="AF32" s="2">
        <f>COUNTIFS(Физика!$H$1:$H$1000,6,Физика!$N$1:$N$1000,"Победитель")</f>
        <v>0</v>
      </c>
      <c r="AG32" s="2">
        <f>COUNTIFS(Физика!$H$1:$H$1000,6,Физика!$N$1:$N$1000,"Победитель",Физика!$M$1:$M$1000,"100%")</f>
        <v>0</v>
      </c>
      <c r="AH32" s="2">
        <f>COUNTIFS(Физика!$H$1:$H$1000,6,Физика!$N$1:$N$1000,"Призер",Физика!$J$1:$J$1000,"имеются")</f>
        <v>0</v>
      </c>
      <c r="AI32" s="2">
        <f>COUNTIFS(Физика!$H$1:$H$1000,6,Физика!$N$1:$N$1000,"Победитель",Физика!$J$1:$J$1000,"имеются")</f>
        <v>0</v>
      </c>
      <c r="AJ32" s="2">
        <f>COUNTIF(Физика!$H$1:$H$1000,7)</f>
        <v>0</v>
      </c>
      <c r="AK32" s="169">
        <f>COUNTIFS(Физика!$H$1:$H$1000,7,Физика!$G$1:$G$1000,"&lt;7")</f>
        <v>0</v>
      </c>
      <c r="AL32" s="169">
        <f>COUNTIFS(Физика!$H$1:$H$1000,7,Физика!$J$1:$J$1000,"имеются")</f>
        <v>0</v>
      </c>
      <c r="AM32" s="2">
        <f>COUNTIFS(Физика!$H$1:$H$1000,7,Физика!$N$1:$N$1000,"Призер")</f>
        <v>0</v>
      </c>
      <c r="AN32" s="2">
        <f>COUNTIFS(Физика!$H$1:$H$1000,7,Физика!$N$1:$N$1000,"Победитель")</f>
        <v>0</v>
      </c>
      <c r="AO32" s="2">
        <f>COUNTIFS(Физика!$H$1:$H$1000,7,Физика!$N$1:$N$1000,"Победитель",Физика!$M$1:$M$1000,"100%")</f>
        <v>0</v>
      </c>
      <c r="AP32" s="2">
        <f>COUNTIFS(Физика!$H$1:$H$1000,7,Физика!$N$1:$N$1000,"Призер",Физика!$J$1:$J$1000,"имеются")</f>
        <v>0</v>
      </c>
      <c r="AQ32" s="2">
        <f>COUNTIFS(Физика!$H$1:$H$1000,7,Физика!$N$1:$N$1000,"Победитель",Физика!$J$1:$J$1000,"имеются")</f>
        <v>0</v>
      </c>
      <c r="AR32" s="2">
        <f>COUNTIF(Физика!$H$1:$H$1000,8)</f>
        <v>0</v>
      </c>
      <c r="AS32" s="169">
        <f>COUNTIFS(Физика!$H$1:$H$1000,8,Физика!$G$1:$G$1000,"&lt;8")</f>
        <v>0</v>
      </c>
      <c r="AT32" s="169">
        <f>COUNTIFS(Физика!$H$1:$H$1000,8,Физика!$J$1:$J$1000,"имеются")</f>
        <v>0</v>
      </c>
      <c r="AU32" s="2">
        <f>COUNTIFS(Физика!$H$1:$H$1000,8,Физика!$N$1:$N$1000,"Призер")</f>
        <v>0</v>
      </c>
      <c r="AV32" s="2">
        <f>COUNTIFS(Физика!$H$1:$H$1000,8,Физика!$N$1:$N$1000,"Победитель")</f>
        <v>0</v>
      </c>
      <c r="AW32" s="2">
        <f>COUNTIFS(Физика!$H$1:$H$1000,8,Физика!$N$1:$N$1000,"Победитель",Физика!$M$1:$M$1000,"100%")</f>
        <v>0</v>
      </c>
      <c r="AX32" s="2">
        <f>COUNTIFS(Физика!$H$1:$H$1000,8,Физика!$N$1:$N$1000,"Призер",Физика!$J$1:$J$1000,"имеются")</f>
        <v>0</v>
      </c>
      <c r="AY32" s="2">
        <f>COUNTIFS(Физика!$H$1:$H$1000,8,Физика!$N$1:$N$1000,"Победитель",Физика!$J$1:$J$1000,"имеются")</f>
        <v>0</v>
      </c>
      <c r="AZ32" s="2">
        <f>COUNTIF(Физика!$H$1:$H$1000,9)</f>
        <v>0</v>
      </c>
      <c r="BA32" s="169">
        <f>COUNTIFS(Физика!$H$1:$H$1000,9,Физика!$G$1:$G$1000,"&lt;9")</f>
        <v>0</v>
      </c>
      <c r="BB32" s="169">
        <f>COUNTIFS(Физика!$H$1:$H$1000,9,Физика!$J$1:$J$1000,"имеются")</f>
        <v>0</v>
      </c>
      <c r="BC32" s="2">
        <f>COUNTIFS(Физика!$H$1:$H$1000,9,Физика!$N$1:$N$1000,"Призер")</f>
        <v>0</v>
      </c>
      <c r="BD32" s="2">
        <f>COUNTIFS(Физика!$H$1:$H$1000,9,Физика!$N$1:$N$1000,"Победитель")</f>
        <v>0</v>
      </c>
      <c r="BE32" s="2">
        <f>COUNTIFS(Физика!$H$1:$H$1000,9,Физика!$N$1:$N$1000,"Победитель",Физика!$M$1:$M$1000,"100%")</f>
        <v>0</v>
      </c>
      <c r="BF32" s="2">
        <f>COUNTIFS(Физика!$H$1:$H$1000,9,Физика!$N$1:$N$1000,"Призер",Физика!$J$1:$J$1000,"имеются")</f>
        <v>0</v>
      </c>
      <c r="BG32" s="2">
        <f>COUNTIFS(Физика!$H$1:$H$1000,9,Физика!$N$1:$N$1000,"Победитель",Физика!$J$1:$J$1000,"имеются")</f>
        <v>0</v>
      </c>
      <c r="BH32" s="2">
        <f>COUNTIF(Физика!$H$1:$H$1000,10)</f>
        <v>2</v>
      </c>
      <c r="BI32" s="169">
        <f>COUNTIFS(Физика!$H$1:$H$1000,10,Физика!$G$1:$G$1000,"&lt;10")</f>
        <v>0</v>
      </c>
      <c r="BJ32" s="169">
        <f>COUNTIFS(Физика!$H$1:$H$1000,10,Физика!$J$1:$J$1000,"имеются")</f>
        <v>0</v>
      </c>
      <c r="BK32" s="2">
        <f>COUNTIFS(Физика!$H$1:$H$1000,10,Физика!$N$1:$N$1000,"Призер")</f>
        <v>0</v>
      </c>
      <c r="BL32" s="2">
        <f>COUNTIFS(Физика!$H$1:$H$1000,10,Физика!$N$1:$N$1000,"Победитель")</f>
        <v>0</v>
      </c>
      <c r="BM32" s="2">
        <f>COUNTIFS(Физика!$H$1:$H$1000,10,Физика!$N$1:$N$1000,"Победитель",Физика!$M$1:$M$1000,"100%")</f>
        <v>0</v>
      </c>
      <c r="BN32" s="2">
        <f>COUNTIFS(Физика!$H$1:$H$1000,10,Физика!$N$1:$N$1000,"Призер",Физика!$J$1:$J$1000,"имеются")</f>
        <v>0</v>
      </c>
      <c r="BO32" s="2">
        <f>COUNTIFS(Физика!$H$1:$H$1000,10,Физика!$N$1:$N$1000,"Победитель",Физика!$J$1:$J$1000,"имеются")</f>
        <v>0</v>
      </c>
      <c r="BP32" s="2">
        <f>COUNTIF(Физика!$H$1:$H$1000,11)</f>
        <v>2</v>
      </c>
      <c r="BQ32" s="169">
        <f>COUNTIFS(Физика!$H$1:$H$1000,11,Физика!$G$1:$G$1000,"&lt;11")</f>
        <v>0</v>
      </c>
      <c r="BR32" s="169">
        <f>COUNTIFS(Физика!$H$1:$H$1000,11,Физика!$J$1:$J$1000,"имеются")</f>
        <v>0</v>
      </c>
      <c r="BS32" s="2">
        <f>COUNTIFS(Физика!$H$1:$H$1000,11,Физика!$N$1:$N$1000,"Призер")</f>
        <v>0</v>
      </c>
      <c r="BT32" s="2">
        <f>COUNTIFS(Физика!$H$1:$H$1000,11,Физика!$N$1:$N$1000,"Победитель")</f>
        <v>0</v>
      </c>
      <c r="BU32" s="2">
        <f>COUNTIFS(Физика!$H$1:$H$1000,11,Физика!$N$1:$N$1000,"Победитель",Физика!$M$1:$M$1000,"100%")</f>
        <v>0</v>
      </c>
      <c r="BV32" s="2">
        <f>COUNTIFS(Физика!$H$1:$H$1000,11,Физика!$N$1:$N$1000,"Призер",Физика!$J$1:$J$1000,"имеются")</f>
        <v>0</v>
      </c>
      <c r="BW32" s="2">
        <f>COUNTIFS(Физика!$H$1:$H$1000,11,Физика!$N$1:$N$1000,"Победитель",Физика!$J$1:$J$1000,"имеются")</f>
        <v>0</v>
      </c>
      <c r="BX32" s="100">
        <f t="shared" si="1"/>
        <v>0</v>
      </c>
    </row>
    <row r="33" spans="1:76">
      <c r="A33" s="34">
        <v>20</v>
      </c>
      <c r="B33" s="135" t="s">
        <v>20</v>
      </c>
      <c r="C33" s="15">
        <f t="shared" si="0"/>
        <v>1</v>
      </c>
      <c r="D33" s="2">
        <f t="shared" si="11"/>
        <v>14</v>
      </c>
      <c r="E33" s="2">
        <f t="shared" si="11"/>
        <v>0</v>
      </c>
      <c r="F33" s="2">
        <f t="shared" si="4"/>
        <v>0</v>
      </c>
      <c r="G33" s="2">
        <f>IF(SUM(W33,AE33,AM33,AU33,BC33,BK33,BS33)&lt;&gt;COUNTIF(Физическая_культура!$N$1:$N$1000,"Призер"),"Ошибка",SUM(W33,AE33,AM33,AU33,BC33,BK33,BS33))</f>
        <v>2</v>
      </c>
      <c r="H33" s="2">
        <f>IF(SUM(X33,AF33,AN33,AV33,BD33,BL33,BT33)&lt;&gt;COUNTIF(Физическая_культура!$N$1:$N$1000,"Победитель"),"Ошибка",SUM(X33,AF33,AN33,AV33,BD33,BL33,BT33))</f>
        <v>2</v>
      </c>
      <c r="I33" s="2">
        <f t="shared" si="12"/>
        <v>0</v>
      </c>
      <c r="J33" s="2">
        <f t="shared" si="13"/>
        <v>0</v>
      </c>
      <c r="K33" s="2">
        <f t="shared" si="14"/>
        <v>0</v>
      </c>
      <c r="L33" s="2"/>
      <c r="M33" s="2"/>
      <c r="N33" s="2"/>
      <c r="O33" s="2"/>
      <c r="P33" s="2"/>
      <c r="Q33" s="2"/>
      <c r="R33" s="2"/>
      <c r="S33" s="2"/>
      <c r="T33" s="2">
        <f>COUNTIF(Физическая_культура!$H$1:$H$1000,5)</f>
        <v>0</v>
      </c>
      <c r="U33" s="169">
        <f>COUNTIFS(Физическая_культура!$H$1:$H$1000,5,Физическая_культура!$G$1:$G$1000,"&lt;5")</f>
        <v>0</v>
      </c>
      <c r="V33" s="169">
        <f>COUNTIFS(Физическая_культура!$H$1:$H$1000,5,Физическая_культура!$J$1:$J$1000,"имеются")</f>
        <v>0</v>
      </c>
      <c r="W33" s="2">
        <f>COUNTIFS(Физическая_культура!$H$1:$H$1000,5,Физическая_культура!$N$1:$N$1000,"Призер")</f>
        <v>0</v>
      </c>
      <c r="X33" s="2">
        <f>COUNTIFS(Физическая_культура!$H$1:$H$1000,5,Физическая_культура!$N$1:$N$1000,"Победитель")</f>
        <v>0</v>
      </c>
      <c r="Y33" s="2">
        <f>COUNTIFS(Физическая_культура!$H$1:$H$1000,5,Физическая_культура!$N$1:$N$1000,"Победитель",Физическая_культура!$M$1:$M$1000,"100%")</f>
        <v>0</v>
      </c>
      <c r="Z33" s="2">
        <f>COUNTIFS(Физическая_культура!$H$1:$H$1000,5,Физическая_культура!$N$1:$N$1000,"Призер",Физическая_культура!$J$1:$J$1000,"имеются")</f>
        <v>0</v>
      </c>
      <c r="AA33" s="2">
        <f>COUNTIFS(Физическая_культура!$H$1:$H$1000,5,Физическая_культура!$N$1:$N$1000,"Победитель",Физическая_культура!$J$1:$J$1000,"имеются")</f>
        <v>0</v>
      </c>
      <c r="AB33" s="2">
        <f>COUNTIF(Физическая_культура!$H$1:$H$1000,6)</f>
        <v>0</v>
      </c>
      <c r="AC33" s="169">
        <f>COUNTIFS(Физическая_культура!$H$1:$H$1000,6,Физическая_культура!$G$1:$G$1000,"&lt;6")</f>
        <v>0</v>
      </c>
      <c r="AD33" s="169">
        <f>COUNTIFS(Физическая_культура!$H$1:$H$1000,6,Физическая_культура!$J$1:$J$1000,"имеются")</f>
        <v>0</v>
      </c>
      <c r="AE33" s="2">
        <f>COUNTIFS(Физическая_культура!$H$1:$H$1000,6,Физическая_культура!$N$1:$N$1000,"Призер")</f>
        <v>0</v>
      </c>
      <c r="AF33" s="2">
        <f>COUNTIFS(Физическая_культура!$H$1:$H$1000,6,Физическая_культура!$N$1:$N$1000,"Победитель")</f>
        <v>0</v>
      </c>
      <c r="AG33" s="2">
        <f>COUNTIFS(Физическая_культура!$H$1:$H$1000,6,Физическая_культура!$N$1:$N$1000,"Победитель",Физическая_культура!$M$1:$M$1000,"100%")</f>
        <v>0</v>
      </c>
      <c r="AH33" s="2">
        <f>COUNTIFS(Физическая_культура!$H$1:$H$1000,6,Физическая_культура!$N$1:$N$1000,"Призер",Физическая_культура!$J$1:$J$1000,"имеются")</f>
        <v>0</v>
      </c>
      <c r="AI33" s="2">
        <f>COUNTIFS(Физическая_культура!$H$1:$H$1000,6,Физическая_культура!$N$1:$N$1000,"Победитель",Физическая_культура!$J$1:$J$1000,"имеются")</f>
        <v>0</v>
      </c>
      <c r="AJ33" s="2">
        <f>COUNTIF(Физическая_культура!$H$1:$H$1000,7)</f>
        <v>0</v>
      </c>
      <c r="AK33" s="169">
        <f>COUNTIFS(Физическая_культура!$H$1:$H$1000,7,Физическая_культура!$G$1:$G$1000,"&lt;7")</f>
        <v>0</v>
      </c>
      <c r="AL33" s="169">
        <f>COUNTIFS(Физическая_культура!$H$1:$H$1000,7,Физическая_культура!$J$1:$J$1000,"имеются")</f>
        <v>0</v>
      </c>
      <c r="AM33" s="2">
        <f>COUNTIFS(Физическая_культура!$H$1:$H$1000,7,Физическая_культура!$N$1:$N$1000,"Призер")</f>
        <v>0</v>
      </c>
      <c r="AN33" s="2">
        <f>COUNTIFS(Физическая_культура!$H$1:$H$1000,7,Физическая_культура!$N$1:$N$1000,"Победитель")</f>
        <v>0</v>
      </c>
      <c r="AO33" s="2">
        <f>COUNTIFS(Физическая_культура!$H$1:$H$1000,7,Физическая_культура!$N$1:$N$1000,"Победитель",Физическая_культура!$M$1:$M$1000,"100%")</f>
        <v>0</v>
      </c>
      <c r="AP33" s="2">
        <f>COUNTIFS(Физическая_культура!$H$1:$H$1000,7,Физическая_культура!$N$1:$N$1000,"Призер",Физическая_культура!$J$1:$J$1000,"имеются")</f>
        <v>0</v>
      </c>
      <c r="AQ33" s="2">
        <f>COUNTIFS(Физическая_культура!$H$1:$H$1000,7,Физическая_культура!$N$1:$N$1000,"Победитель",Физическая_культура!$J$1:$J$1000,"имеются")</f>
        <v>0</v>
      </c>
      <c r="AR33" s="2">
        <f>COUNTIF(Физическая_культура!$H$1:$H$1000,8)</f>
        <v>0</v>
      </c>
      <c r="AS33" s="169">
        <f>COUNTIFS(Физическая_культура!$H$1:$H$1000,8,Физическая_культура!$G$1:$G$1000,"&lt;8")</f>
        <v>0</v>
      </c>
      <c r="AT33" s="169">
        <f>COUNTIFS(Физическая_культура!$H$1:$H$1000,8,Физическая_культура!$J$1:$J$1000,"имеются")</f>
        <v>0</v>
      </c>
      <c r="AU33" s="2">
        <f>COUNTIFS(Физическая_культура!$H$1:$H$1000,8,Физическая_культура!$N$1:$N$1000,"Призер")</f>
        <v>0</v>
      </c>
      <c r="AV33" s="2">
        <f>COUNTIFS(Физическая_культура!$H$1:$H$1000,8,Физическая_культура!$N$1:$N$1000,"Победитель")</f>
        <v>0</v>
      </c>
      <c r="AW33" s="2">
        <f>COUNTIFS(Физическая_культура!$H$1:$H$1000,8,Физическая_культура!$N$1:$N$1000,"Победитель",Физическая_культура!$M$1:$M$1000,"100%")</f>
        <v>0</v>
      </c>
      <c r="AX33" s="2">
        <f>COUNTIFS(Физическая_культура!$H$1:$H$1000,8,Физическая_культура!$N$1:$N$1000,"Призер",Физическая_культура!$J$1:$J$1000,"имеются")</f>
        <v>0</v>
      </c>
      <c r="AY33" s="2">
        <f>COUNTIFS(Физическая_культура!$H$1:$H$1000,8,Физическая_культура!$N$1:$N$1000,"Победитель",Физическая_культура!$J$1:$J$1000,"имеются")</f>
        <v>0</v>
      </c>
      <c r="AZ33" s="2">
        <f>COUNTIF(Физическая_культура!$H$1:$H$1000,9)</f>
        <v>0</v>
      </c>
      <c r="BA33" s="169">
        <f>COUNTIFS(Физическая_культура!$H$1:$H$1000,9,Физическая_культура!$G$1:$G$1000,"&lt;9")</f>
        <v>0</v>
      </c>
      <c r="BB33" s="169">
        <f>COUNTIFS(Физическая_культура!$H$1:$H$1000,9,Физическая_культура!$J$1:$J$1000,"имеются")</f>
        <v>0</v>
      </c>
      <c r="BC33" s="2">
        <f>COUNTIFS(Физическая_культура!$H$1:$H$1000,9,Физическая_культура!$N$1:$N$1000,"Призер")</f>
        <v>0</v>
      </c>
      <c r="BD33" s="2">
        <f>COUNTIFS(Физическая_культура!$H$1:$H$1000,9,Физическая_культура!$N$1:$N$1000,"Победитель")</f>
        <v>0</v>
      </c>
      <c r="BE33" s="2">
        <f>COUNTIFS(Физическая_культура!$H$1:$H$1000,9,Физическая_культура!$N$1:$N$1000,"Победитель",Физическая_культура!$M$1:$M$1000,"100%")</f>
        <v>0</v>
      </c>
      <c r="BF33" s="2">
        <f>COUNTIFS(Физическая_культура!$H$1:$H$1000,9,Физическая_культура!$N$1:$N$1000,"Призер",Физическая_культура!$J$1:$J$1000,"имеются")</f>
        <v>0</v>
      </c>
      <c r="BG33" s="2">
        <f>COUNTIFS(Физическая_культура!$H$1:$H$1000,9,Физическая_культура!$N$1:$N$1000,"Победитель",Физическая_культура!$J$1:$J$1000,"имеются")</f>
        <v>0</v>
      </c>
      <c r="BH33" s="2">
        <f>COUNTIF(Физическая_культура!$H$1:$H$1000,10)</f>
        <v>7</v>
      </c>
      <c r="BI33" s="169">
        <f>COUNTIFS(Физическая_культура!$H$1:$H$1000,10,Физическая_культура!$G$1:$G$1000,"&lt;10")</f>
        <v>0</v>
      </c>
      <c r="BJ33" s="169">
        <f>COUNTIFS(Физическая_культура!$H$1:$H$1000,10,Физическая_культура!$J$1:$J$1000,"имеются")</f>
        <v>0</v>
      </c>
      <c r="BK33" s="2">
        <f>COUNTIFS(Физическая_культура!$H$1:$H$1000,10,Физическая_культура!$N$1:$N$1000,"Призер")</f>
        <v>1</v>
      </c>
      <c r="BL33" s="2">
        <f>COUNTIFS(Физическая_культура!$H$1:$H$1000,10,Физическая_культура!$N$1:$N$1000,"Победитель")</f>
        <v>1</v>
      </c>
      <c r="BM33" s="2">
        <f>COUNTIFS(Физическая_культура!$H$1:$H$1000,10,Физическая_культура!$N$1:$N$1000,"Победитель",Физическая_культура!$M$1:$M$1000,"100%")</f>
        <v>0</v>
      </c>
      <c r="BN33" s="2">
        <f>COUNTIFS(Физическая_культура!$H$1:$H$1000,10,Физическая_культура!$N$1:$N$1000,"Призер",Физическая_культура!$J$1:$J$1000,"имеются")</f>
        <v>0</v>
      </c>
      <c r="BO33" s="2">
        <f>COUNTIFS(Физическая_культура!$H$1:$H$1000,10,Физическая_культура!$N$1:$N$1000,"Победитель",Физическая_культура!$J$1:$J$1000,"имеются")</f>
        <v>0</v>
      </c>
      <c r="BP33" s="2">
        <f>COUNTIF(Физическая_культура!$H$1:$H$1000,11)</f>
        <v>7</v>
      </c>
      <c r="BQ33" s="169">
        <f>COUNTIFS(Физическая_культура!$H$1:$H$1000,11,Физическая_культура!$G$1:$G$1000,"&lt;11")</f>
        <v>0</v>
      </c>
      <c r="BR33" s="169">
        <f>COUNTIFS(Физическая_культура!$H$1:$H$1000,11,Физическая_культура!$J$1:$J$1000,"имеются")</f>
        <v>0</v>
      </c>
      <c r="BS33" s="2">
        <f>COUNTIFS(Физическая_культура!$H$1:$H$1000,11,Физическая_культура!$N$1:$N$1000,"Призер")</f>
        <v>1</v>
      </c>
      <c r="BT33" s="2">
        <f>COUNTIFS(Физическая_культура!$H$1:$H$1000,11,Физическая_культура!$N$1:$N$1000,"Победитель")</f>
        <v>1</v>
      </c>
      <c r="BU33" s="2">
        <f>COUNTIFS(Физическая_культура!$H$1:$H$1000,11,Физическая_культура!$N$1:$N$1000,"Победитель",Физическая_культура!$M$1:$M$1000,"100%")</f>
        <v>0</v>
      </c>
      <c r="BV33" s="2">
        <f>COUNTIFS(Физическая_культура!$H$1:$H$1000,11,Физическая_культура!$N$1:$N$1000,"Призер",Физическая_культура!$J$1:$J$1000,"имеются")</f>
        <v>0</v>
      </c>
      <c r="BW33" s="2">
        <f>COUNTIFS(Физическая_культура!$H$1:$H$1000,11,Физическая_культура!$N$1:$N$1000,"Победитель",Физическая_культура!$J$1:$J$1000,"имеются")</f>
        <v>0</v>
      </c>
      <c r="BX33" s="100">
        <f t="shared" si="1"/>
        <v>0.2857142857142857</v>
      </c>
    </row>
    <row r="34" spans="1:76">
      <c r="A34" s="34">
        <v>21</v>
      </c>
      <c r="B34" s="32" t="s">
        <v>14</v>
      </c>
      <c r="C34" s="15">
        <f t="shared" si="0"/>
        <v>0</v>
      </c>
      <c r="D34" s="2">
        <f t="shared" si="11"/>
        <v>0</v>
      </c>
      <c r="E34" s="2">
        <f t="shared" si="11"/>
        <v>0</v>
      </c>
      <c r="F34" s="2">
        <f t="shared" si="4"/>
        <v>0</v>
      </c>
      <c r="G34" s="2">
        <f>IF(SUM(W34,AE34,AM34,AU34,BC34,BK34,BS34)&lt;&gt;COUNTIF(Французский_язык!$N$1:$N$1000,"Призер"),"Ошибка",SUM(W34,AE34,AM34,AU34,BC34,BK34,BS34))</f>
        <v>0</v>
      </c>
      <c r="H34" s="2">
        <f>IF(SUM(X34,AF34,AN34,AV34,BD34,BL34,BT34)&lt;&gt;COUNTIF(Французский_язык!$N$1:$N$1000,"Победитель"),"Ошибка",SUM(X34,AF34,AN34,AV34,BD34,BL34,BT34))</f>
        <v>0</v>
      </c>
      <c r="I34" s="2">
        <f t="shared" si="12"/>
        <v>0</v>
      </c>
      <c r="J34" s="2">
        <f t="shared" si="13"/>
        <v>0</v>
      </c>
      <c r="K34" s="2">
        <f t="shared" si="14"/>
        <v>0</v>
      </c>
      <c r="L34" s="2"/>
      <c r="M34" s="2"/>
      <c r="N34" s="2"/>
      <c r="O34" s="2"/>
      <c r="P34" s="2"/>
      <c r="Q34" s="2"/>
      <c r="R34" s="2"/>
      <c r="S34" s="2"/>
      <c r="T34" s="2">
        <f>COUNTIF(Французский_язык!$H$1:$H$1000,5)</f>
        <v>0</v>
      </c>
      <c r="U34" s="169">
        <f>COUNTIFS(Французский_язык!$H$1:$H$1000,5,Французский_язык!$G$1:$G$1000,"&lt;5")</f>
        <v>0</v>
      </c>
      <c r="V34" s="169">
        <f>COUNTIFS(Французский_язык!$H$1:$H$1000,5,Французский_язык!$J$1:$J$1000,"имеются")</f>
        <v>0</v>
      </c>
      <c r="W34" s="2">
        <f>COUNTIFS(Французский_язык!$H$1:$H$1000,5,Французский_язык!$N$1:$N$1000,"Призер")</f>
        <v>0</v>
      </c>
      <c r="X34" s="2">
        <f>COUNTIFS(Французский_язык!$H$1:$H$1000,5,Французский_язык!$N$1:$N$1000,"Победитель")</f>
        <v>0</v>
      </c>
      <c r="Y34" s="2">
        <f>COUNTIFS(Французский_язык!$H$1:$H$1000,5,Французский_язык!$N$1:$N$1000,"Победитель",Французский_язык!$M$1:$M$1000,"100%")</f>
        <v>0</v>
      </c>
      <c r="Z34" s="2">
        <f>COUNTIFS(Французский_язык!$H$1:$H$1000,5,Французский_язык!$N$1:$N$1000,"Призер",Французский_язык!$J$1:$J$1000,"имеются")</f>
        <v>0</v>
      </c>
      <c r="AA34" s="2">
        <f>COUNTIFS(Французский_язык!$H$1:$H$1000,5,Французский_язык!$N$1:$N$1000,"Победитель",Французский_язык!$J$1:$J$1000,"имеются")</f>
        <v>0</v>
      </c>
      <c r="AB34" s="2">
        <f>COUNTIF(Французский_язык!$H$1:$H$1000,6)</f>
        <v>0</v>
      </c>
      <c r="AC34" s="169">
        <f>COUNTIFS(Французский_язык!$H$1:$H$1000,6,Французский_язык!$G$1:$G$1000,"&lt;6")</f>
        <v>0</v>
      </c>
      <c r="AD34" s="169">
        <f>COUNTIFS(Французский_язык!$H$1:$H$1000,6,Французский_язык!$J$1:$J$1000,"имеются")</f>
        <v>0</v>
      </c>
      <c r="AE34" s="2">
        <f>COUNTIFS(Французский_язык!$H$1:$H$1000,6,Французский_язык!$N$1:$N$1000,"Призер")</f>
        <v>0</v>
      </c>
      <c r="AF34" s="2">
        <f>COUNTIFS(Французский_язык!$H$1:$H$1000,6,Французский_язык!$N$1:$N$1000,"Победитель")</f>
        <v>0</v>
      </c>
      <c r="AG34" s="2">
        <f>COUNTIFS(Французский_язык!$H$1:$H$1000,6,Французский_язык!$N$1:$N$1000,"Победитель",Французский_язык!$M$1:$M$1000,"100%")</f>
        <v>0</v>
      </c>
      <c r="AH34" s="2">
        <f>COUNTIFS(Французский_язык!$H$1:$H$1000,6,Французский_язык!$N$1:$N$1000,"Призер",Французский_язык!$J$1:$J$1000,"имеются")</f>
        <v>0</v>
      </c>
      <c r="AI34" s="2">
        <f>COUNTIFS(Французский_язык!$H$1:$H$1000,6,Французский_язык!$N$1:$N$1000,"Победитель",Французский_язык!$J$1:$J$1000,"имеются")</f>
        <v>0</v>
      </c>
      <c r="AJ34" s="2">
        <f>COUNTIF(Французский_язык!$H$1:$H$1000,7)</f>
        <v>0</v>
      </c>
      <c r="AK34" s="169">
        <f>COUNTIFS(Французский_язык!$H$1:$H$1000,7,Французский_язык!$G$1:$G$1000,"&lt;7")</f>
        <v>0</v>
      </c>
      <c r="AL34" s="169">
        <f>COUNTIFS(Французский_язык!$H$1:$H$1000,7,Французский_язык!$J$1:$J$1000,"имеются")</f>
        <v>0</v>
      </c>
      <c r="AM34" s="2">
        <f>COUNTIFS(Французский_язык!$H$1:$H$1000,7,Французский_язык!$N$1:$N$1000,"Призер")</f>
        <v>0</v>
      </c>
      <c r="AN34" s="2">
        <f>COUNTIFS(Французский_язык!$H$1:$H$1000,7,Французский_язык!$N$1:$N$1000,"Победитель")</f>
        <v>0</v>
      </c>
      <c r="AO34" s="2">
        <f>COUNTIFS(Французский_язык!$H$1:$H$1000,7,Французский_язык!$N$1:$N$1000,"Победитель",Французский_язык!$M$1:$M$1000,"100%")</f>
        <v>0</v>
      </c>
      <c r="AP34" s="2">
        <f>COUNTIFS(Французский_язык!$H$1:$H$1000,7,Французский_язык!$N$1:$N$1000,"Призер",Французский_язык!$J$1:$J$1000,"имеются")</f>
        <v>0</v>
      </c>
      <c r="AQ34" s="2">
        <f>COUNTIFS(Французский_язык!$H$1:$H$1000,7,Французский_язык!$N$1:$N$1000,"Победитель",Французский_язык!$J$1:$J$1000,"имеются")</f>
        <v>0</v>
      </c>
      <c r="AR34" s="2">
        <f>COUNTIF(Французский_язык!$H$1:$H$1000,8)</f>
        <v>0</v>
      </c>
      <c r="AS34" s="169">
        <f>COUNTIFS(Французский_язык!$H$1:$H$1000,8,Французский_язык!$G$1:$G$1000,"&lt;8")</f>
        <v>0</v>
      </c>
      <c r="AT34" s="169">
        <f>COUNTIFS(Французский_язык!$H$1:$H$1000,8,Французский_язык!$J$1:$J$1000,"имеются")</f>
        <v>0</v>
      </c>
      <c r="AU34" s="2">
        <f>COUNTIFS(Французский_язык!$H$1:$H$1000,8,Французский_язык!$N$1:$N$1000,"Призер")</f>
        <v>0</v>
      </c>
      <c r="AV34" s="2">
        <f>COUNTIFS(Французский_язык!$H$1:$H$1000,8,Французский_язык!$N$1:$N$1000,"Победитель")</f>
        <v>0</v>
      </c>
      <c r="AW34" s="2">
        <f>COUNTIFS(Французский_язык!$H$1:$H$1000,8,Французский_язык!$N$1:$N$1000,"Победитель",Французский_язык!$M$1:$M$1000,"100%")</f>
        <v>0</v>
      </c>
      <c r="AX34" s="2">
        <f>COUNTIFS(Французский_язык!$H$1:$H$1000,8,Французский_язык!$N$1:$N$1000,"Призер",Французский_язык!$J$1:$J$1000,"имеются")</f>
        <v>0</v>
      </c>
      <c r="AY34" s="2">
        <f>COUNTIFS(Французский_язык!$H$1:$H$1000,8,Французский_язык!$N$1:$N$1000,"Победитель",Французский_язык!$J$1:$J$1000,"имеются")</f>
        <v>0</v>
      </c>
      <c r="AZ34" s="2">
        <f>COUNTIF(Французский_язык!$H$1:$H$1000,9)</f>
        <v>0</v>
      </c>
      <c r="BA34" s="169">
        <f>COUNTIFS(Французский_язык!$H$1:$H$1000,9,Французский_язык!$G$1:$G$1000,"&lt;9")</f>
        <v>0</v>
      </c>
      <c r="BB34" s="169">
        <f>COUNTIFS(Французский_язык!$H$1:$H$1000,9,Французский_язык!$J$1:$J$1000,"имеются")</f>
        <v>0</v>
      </c>
      <c r="BC34" s="2">
        <f>COUNTIFS(Французский_язык!$H$1:$H$1000,9,Французский_язык!$N$1:$N$1000,"Призер")</f>
        <v>0</v>
      </c>
      <c r="BD34" s="2">
        <f>COUNTIFS(Французский_язык!$H$1:$H$1000,9,Французский_язык!$N$1:$N$1000,"Победитель")</f>
        <v>0</v>
      </c>
      <c r="BE34" s="2">
        <f>COUNTIFS(Французский_язык!$H$1:$H$1000,9,Французский_язык!$N$1:$N$1000,"Победитель",Французский_язык!$M$1:$M$1000,"100%")</f>
        <v>0</v>
      </c>
      <c r="BF34" s="2">
        <f>COUNTIFS(Французский_язык!$H$1:$H$1000,9,Французский_язык!$N$1:$N$1000,"Призер",Французский_язык!$J$1:$J$1000,"имеются")</f>
        <v>0</v>
      </c>
      <c r="BG34" s="2">
        <f>COUNTIFS(Французский_язык!$H$1:$H$1000,9,Французский_язык!$N$1:$N$1000,"Победитель",Французский_язык!$J$1:$J$1000,"имеются")</f>
        <v>0</v>
      </c>
      <c r="BH34" s="2">
        <f>COUNTIF(Французский_язык!$H$1:$H$1000,10)</f>
        <v>0</v>
      </c>
      <c r="BI34" s="169">
        <f>COUNTIFS(Французский_язык!$H$1:$H$1000,10,Французский_язык!$G$1:$G$1000,"&lt;10")</f>
        <v>0</v>
      </c>
      <c r="BJ34" s="169">
        <f>COUNTIFS(Французский_язык!$H$1:$H$1000,10,Французский_язык!$J$1:$J$1000,"имеются")</f>
        <v>0</v>
      </c>
      <c r="BK34" s="2">
        <f>COUNTIFS(Французский_язык!$H$1:$H$1000,10,Французский_язык!$N$1:$N$1000,"Призер")</f>
        <v>0</v>
      </c>
      <c r="BL34" s="2">
        <f>COUNTIFS(Французский_язык!$H$1:$H$1000,10,Французский_язык!$N$1:$N$1000,"Победитель")</f>
        <v>0</v>
      </c>
      <c r="BM34" s="2">
        <f>COUNTIFS(Французский_язык!$H$1:$H$1000,10,Французский_язык!$N$1:$N$1000,"Победитель",Французский_язык!$M$1:$M$1000,"100%")</f>
        <v>0</v>
      </c>
      <c r="BN34" s="2">
        <f>COUNTIFS(Французский_язык!$H$1:$H$1000,10,Французский_язык!$N$1:$N$1000,"Призер",Французский_язык!$J$1:$J$1000,"имеются")</f>
        <v>0</v>
      </c>
      <c r="BO34" s="2">
        <f>COUNTIFS(Французский_язык!$H$1:$H$1000,10,Французский_язык!$N$1:$N$1000,"Победитель",Французский_язык!$J$1:$J$1000,"имеются")</f>
        <v>0</v>
      </c>
      <c r="BP34" s="2">
        <f>COUNTIF(Французский_язык!$H$1:$H$1000,11)</f>
        <v>0</v>
      </c>
      <c r="BQ34" s="169">
        <f>COUNTIFS(Французский_язык!$H$1:$H$1000,11,Французский_язык!$G$1:$G$1000,"&lt;11")</f>
        <v>0</v>
      </c>
      <c r="BR34" s="169">
        <f>COUNTIFS(Французский_язык!$H$1:$H$1000,11,Французский_язык!$J$1:$J$1000,"имеются")</f>
        <v>0</v>
      </c>
      <c r="BS34" s="2">
        <f>COUNTIFS(Французский_язык!$H$1:$H$1000,11,Французский_язык!$N$1:$N$1000,"Призер")</f>
        <v>0</v>
      </c>
      <c r="BT34" s="2">
        <f>COUNTIFS(Французский_язык!$H$1:$H$1000,11,Французский_язык!$N$1:$N$1000,"Победитель")</f>
        <v>0</v>
      </c>
      <c r="BU34" s="2">
        <f>COUNTIFS(Французский_язык!$H$1:$H$1000,11,Французский_язык!$N$1:$N$1000,"Победитель",Французский_язык!$M$1:$M$1000,"100%")</f>
        <v>0</v>
      </c>
      <c r="BV34" s="2">
        <f>COUNTIFS(Французский_язык!$H$1:$H$1000,11,Французский_язык!$N$1:$N$1000,"Призер",Французский_язык!$J$1:$J$1000,"имеются")</f>
        <v>0</v>
      </c>
      <c r="BW34" s="2">
        <f>COUNTIFS(Французский_язык!$H$1:$H$1000,11,Французский_язык!$N$1:$N$1000,"Победитель",Французский_язык!$J$1:$J$1000,"имеются")</f>
        <v>0</v>
      </c>
      <c r="BX34" s="100" t="e">
        <f t="shared" si="1"/>
        <v>#DIV/0!</v>
      </c>
    </row>
    <row r="35" spans="1:76">
      <c r="A35" s="34">
        <v>22</v>
      </c>
      <c r="B35" s="32" t="s">
        <v>21</v>
      </c>
      <c r="C35" s="15">
        <f t="shared" si="0"/>
        <v>1</v>
      </c>
      <c r="D35" s="2">
        <f t="shared" si="11"/>
        <v>9</v>
      </c>
      <c r="E35" s="2">
        <f t="shared" si="11"/>
        <v>0</v>
      </c>
      <c r="F35" s="2">
        <f t="shared" si="4"/>
        <v>0</v>
      </c>
      <c r="G35" s="2">
        <f>IF(SUM(W35,AE35,AM35,AU35,BC35,BK35,BS35)&lt;&gt;COUNTIF(Химия!$N$1:$N$1000,"Призер"),"Ошибка",SUM(W35,AE35,AM35,AU35,BC35,BK35,BS35))</f>
        <v>0</v>
      </c>
      <c r="H35" s="2">
        <f>IF(SUM(X35,AF35,AN35,AV35,BD35,BL35,BT35)&lt;&gt;COUNTIF(Химия!$N$1:$N$1000,"Победитель"),"Ошибка",SUM(X35,AF35,AN35,AV35,BD35,BL35,BT35))</f>
        <v>0</v>
      </c>
      <c r="I35" s="2">
        <f t="shared" si="12"/>
        <v>0</v>
      </c>
      <c r="J35" s="2">
        <f t="shared" si="13"/>
        <v>0</v>
      </c>
      <c r="K35" s="2">
        <f t="shared" si="14"/>
        <v>0</v>
      </c>
      <c r="L35" s="2"/>
      <c r="M35" s="2"/>
      <c r="N35" s="2"/>
      <c r="O35" s="2"/>
      <c r="P35" s="2"/>
      <c r="Q35" s="2"/>
      <c r="R35" s="2"/>
      <c r="S35" s="2"/>
      <c r="T35" s="2">
        <f>COUNTIF(Химия!$H$1:$H$1000,5)</f>
        <v>0</v>
      </c>
      <c r="U35" s="169">
        <f>COUNTIFS(Химия!$H$1:$H$1000,5,Химия!$G$1:$G$1000,"&lt;5")</f>
        <v>0</v>
      </c>
      <c r="V35" s="169">
        <f>COUNTIFS(Химия!$H$1:$H$1000,5,Химия!$J$1:$J$1000,"имеются")</f>
        <v>0</v>
      </c>
      <c r="W35" s="2">
        <f>COUNTIFS(Химия!$H$1:$H$1000,5,Химия!$N$1:$N$1000,"Призер")</f>
        <v>0</v>
      </c>
      <c r="X35" s="2">
        <f>COUNTIFS(Химия!$H$1:$H$1000,5,Химия!$N$1:$N$1000,"Победитель")</f>
        <v>0</v>
      </c>
      <c r="Y35" s="2">
        <f>COUNTIFS(Химия!$H$1:$H$1000,5,Химия!$N$1:$N$1000,"Победитель",Химия!$M$1:$M$1000,"100%")</f>
        <v>0</v>
      </c>
      <c r="Z35" s="2">
        <f>COUNTIFS(Химия!$H$1:$H$1000,5,Химия!$N$1:$N$1000,"Призер",Химия!$J$1:$J$1000,"имеются")</f>
        <v>0</v>
      </c>
      <c r="AA35" s="2">
        <f>COUNTIFS(Химия!$H$1:$H$1000,5,Химия!$N$1:$N$1000,"Победитель",Химия!$J$1:$J$1000,"имеются")</f>
        <v>0</v>
      </c>
      <c r="AB35" s="2">
        <f>COUNTIF(Химия!$H$1:$H$1000,6)</f>
        <v>0</v>
      </c>
      <c r="AC35" s="169">
        <f>COUNTIFS(Химия!$H$1:$H$1000,6,Химия!$G$1:$G$1000,"&lt;6")</f>
        <v>0</v>
      </c>
      <c r="AD35" s="169">
        <f>COUNTIFS(Химия!$H$1:$H$1000,6,Химия!$J$1:$J$1000,"имеются")</f>
        <v>0</v>
      </c>
      <c r="AE35" s="2">
        <f>COUNTIFS(Химия!$H$1:$H$1000,6,Химия!$N$1:$N$1000,"Призер")</f>
        <v>0</v>
      </c>
      <c r="AF35" s="2">
        <f>COUNTIFS(Химия!$H$1:$H$1000,6,Химия!$N$1:$N$1000,"Победитель")</f>
        <v>0</v>
      </c>
      <c r="AG35" s="2">
        <f>COUNTIFS(Химия!$H$1:$H$1000,6,Химия!$N$1:$N$1000,"Победитель",Химия!$M$1:$M$1000,"100%")</f>
        <v>0</v>
      </c>
      <c r="AH35" s="2">
        <f>COUNTIFS(Химия!$H$1:$H$1000,6,Химия!$N$1:$N$1000,"Призер",Химия!$J$1:$J$1000,"имеются")</f>
        <v>0</v>
      </c>
      <c r="AI35" s="2">
        <f>COUNTIFS(Химия!$H$1:$H$1000,6,Химия!$N$1:$N$1000,"Победитель",Химия!$J$1:$J$1000,"имеются")</f>
        <v>0</v>
      </c>
      <c r="AJ35" s="2">
        <f>COUNTIF(Химия!$H$1:$H$1000,7)</f>
        <v>0</v>
      </c>
      <c r="AK35" s="169">
        <f>COUNTIFS(Химия!$H$1:$H$1000,7,Химия!$G$1:$G$1000,"&lt;7")</f>
        <v>0</v>
      </c>
      <c r="AL35" s="169">
        <f>COUNTIFS(Химия!$H$1:$H$1000,7,Химия!$J$1:$J$1000,"имеются")</f>
        <v>0</v>
      </c>
      <c r="AM35" s="2">
        <f>COUNTIFS(Химия!$H$1:$H$1000,7,Химия!$N$1:$N$1000,"Призер")</f>
        <v>0</v>
      </c>
      <c r="AN35" s="2">
        <f>COUNTIFS(Химия!$H$1:$H$1000,7,Химия!$N$1:$N$1000,"Победитель")</f>
        <v>0</v>
      </c>
      <c r="AO35" s="2">
        <f>COUNTIFS(Химия!$H$1:$H$1000,7,Химия!$N$1:$N$1000,"Победитель",Химия!$M$1:$M$1000,"100%")</f>
        <v>0</v>
      </c>
      <c r="AP35" s="2">
        <f>COUNTIFS(Химия!$H$1:$H$1000,7,Химия!$N$1:$N$1000,"Призер",Химия!$J$1:$J$1000,"имеются")</f>
        <v>0</v>
      </c>
      <c r="AQ35" s="2">
        <f>COUNTIFS(Химия!$H$1:$H$1000,7,Химия!$N$1:$N$1000,"Победитель",Химия!$J$1:$J$1000,"имеются")</f>
        <v>0</v>
      </c>
      <c r="AR35" s="2">
        <f>COUNTIF(Химия!$H$1:$H$1000,8)</f>
        <v>1</v>
      </c>
      <c r="AS35" s="169">
        <f>COUNTIFS(Химия!$H$1:$H$1000,8,Химия!$G$1:$G$1000,"&lt;8")</f>
        <v>0</v>
      </c>
      <c r="AT35" s="169">
        <f>COUNTIFS(Химия!$H$1:$H$1000,8,Химия!$J$1:$J$1000,"имеются")</f>
        <v>0</v>
      </c>
      <c r="AU35" s="2">
        <f>COUNTIFS(Химия!$H$1:$H$1000,8,Химия!$N$1:$N$1000,"Призер")</f>
        <v>0</v>
      </c>
      <c r="AV35" s="2">
        <f>COUNTIFS(Химия!$H$1:$H$1000,8,Химия!$N$1:$N$1000,"Победитель")</f>
        <v>0</v>
      </c>
      <c r="AW35" s="2">
        <f>COUNTIFS(Химия!$H$1:$H$1000,8,Химия!$N$1:$N$1000,"Победитель",Химия!$M$1:$M$1000,"100%")</f>
        <v>0</v>
      </c>
      <c r="AX35" s="2">
        <f>COUNTIFS(Химия!$H$1:$H$1000,8,Химия!$N$1:$N$1000,"Призер",Химия!$J$1:$J$1000,"имеются")</f>
        <v>0</v>
      </c>
      <c r="AY35" s="2">
        <f>COUNTIFS(Химия!$H$1:$H$1000,8,Химия!$N$1:$N$1000,"Победитель",Химия!$J$1:$J$1000,"имеются")</f>
        <v>0</v>
      </c>
      <c r="AZ35" s="2">
        <f>COUNTIF(Химия!$H$1:$H$1000,9)</f>
        <v>5</v>
      </c>
      <c r="BA35" s="169">
        <f>COUNTIFS(Химия!$H$1:$H$1000,9,Химия!$G$1:$G$1000,"&lt;9")</f>
        <v>0</v>
      </c>
      <c r="BB35" s="169">
        <f>COUNTIFS(Химия!$H$1:$H$1000,9,Химия!$J$1:$J$1000,"имеются")</f>
        <v>0</v>
      </c>
      <c r="BC35" s="2">
        <f>COUNTIFS(Химия!$H$1:$H$1000,9,Химия!$N$1:$N$1000,"Призер")</f>
        <v>0</v>
      </c>
      <c r="BD35" s="2">
        <f>COUNTIFS(Химия!$H$1:$H$1000,9,Химия!$N$1:$N$1000,"Победитель")</f>
        <v>0</v>
      </c>
      <c r="BE35" s="2">
        <f>COUNTIFS(Химия!$H$1:$H$1000,9,Химия!$N$1:$N$1000,"Победитель",Химия!$M$1:$M$1000,"100%")</f>
        <v>0</v>
      </c>
      <c r="BF35" s="2">
        <f>COUNTIFS(Химия!$H$1:$H$1000,9,Химия!$N$1:$N$1000,"Призер",Химия!$J$1:$J$1000,"имеются")</f>
        <v>0</v>
      </c>
      <c r="BG35" s="2">
        <f>COUNTIFS(Химия!$H$1:$H$1000,9,Химия!$N$1:$N$1000,"Победитель",Химия!$J$1:$J$1000,"имеются")</f>
        <v>0</v>
      </c>
      <c r="BH35" s="2">
        <f>COUNTIF(Химия!$H$1:$H$1000,10)</f>
        <v>2</v>
      </c>
      <c r="BI35" s="169">
        <f>COUNTIFS(Химия!$H$1:$H$1000,10,Химия!$G$1:$G$1000,"&lt;10")</f>
        <v>0</v>
      </c>
      <c r="BJ35" s="169">
        <f>COUNTIFS(Химия!$H$1:$H$1000,10,Химия!$J$1:$J$1000,"имеются")</f>
        <v>0</v>
      </c>
      <c r="BK35" s="2">
        <f>COUNTIFS(Химия!$H$1:$H$1000,10,Химия!$N$1:$N$1000,"Призер")</f>
        <v>0</v>
      </c>
      <c r="BL35" s="2">
        <f>COUNTIFS(Химия!$H$1:$H$1000,10,Химия!$N$1:$N$1000,"Победитель")</f>
        <v>0</v>
      </c>
      <c r="BM35" s="2">
        <f>COUNTIFS(Химия!$H$1:$H$1000,10,Химия!$N$1:$N$1000,"Победитель",Химия!$M$1:$M$1000,"100%")</f>
        <v>0</v>
      </c>
      <c r="BN35" s="2">
        <f>COUNTIFS(Химия!$H$1:$H$1000,10,Химия!$N$1:$N$1000,"Призер",Химия!$J$1:$J$1000,"имеются")</f>
        <v>0</v>
      </c>
      <c r="BO35" s="2">
        <f>COUNTIFS(Химия!$H$1:$H$1000,10,Химия!$N$1:$N$1000,"Победитель",Химия!$J$1:$J$1000,"имеются")</f>
        <v>0</v>
      </c>
      <c r="BP35" s="2">
        <f>COUNTIF(Химия!$H$1:$H$1000,11)</f>
        <v>1</v>
      </c>
      <c r="BQ35" s="169">
        <f>COUNTIFS(Химия!$H$1:$H$1000,11,Химия!$G$1:$G$1000,"&lt;11")</f>
        <v>0</v>
      </c>
      <c r="BR35" s="169">
        <f>COUNTIFS(Химия!$H$1:$H$1000,11,Химия!$J$1:$J$1000,"имеются")</f>
        <v>0</v>
      </c>
      <c r="BS35" s="2">
        <f>COUNTIFS(Химия!$H$1:$H$1000,11,Химия!$N$1:$N$1000,"Призер")</f>
        <v>0</v>
      </c>
      <c r="BT35" s="2">
        <f>COUNTIFS(Химия!$H$1:$H$1000,11,Химия!$N$1:$N$1000,"Победитель")</f>
        <v>0</v>
      </c>
      <c r="BU35" s="2">
        <f>COUNTIFS(Химия!$H$1:$H$1000,11,Химия!$N$1:$N$1000,"Победитель",Химия!$M$1:$M$1000,"100%")</f>
        <v>0</v>
      </c>
      <c r="BV35" s="2">
        <f>COUNTIFS(Химия!$H$1:$H$1000,11,Химия!$N$1:$N$1000,"Призер",Химия!$J$1:$J$1000,"имеются")</f>
        <v>0</v>
      </c>
      <c r="BW35" s="2">
        <f>COUNTIFS(Химия!$H$1:$H$1000,11,Химия!$N$1:$N$1000,"Победитель",Химия!$J$1:$J$1000,"имеются")</f>
        <v>0</v>
      </c>
      <c r="BX35" s="100">
        <f t="shared" si="1"/>
        <v>0</v>
      </c>
    </row>
    <row r="36" spans="1:76">
      <c r="A36" s="34">
        <v>23</v>
      </c>
      <c r="B36" s="32" t="s">
        <v>17</v>
      </c>
      <c r="C36" s="15">
        <f t="shared" si="0"/>
        <v>1</v>
      </c>
      <c r="D36" s="2">
        <f t="shared" si="11"/>
        <v>2</v>
      </c>
      <c r="E36" s="2">
        <f t="shared" si="11"/>
        <v>0</v>
      </c>
      <c r="F36" s="2">
        <f t="shared" si="4"/>
        <v>0</v>
      </c>
      <c r="G36" s="2">
        <f>IF(SUM(W36,AE36,AM36,AU36,BC36,BK36,BS36)&lt;&gt;COUNTIF(Экология!$N$1:$N$1000,"Призер"),"Ошибка",SUM(W36,AE36,AM36,AU36,BC36,BK36,BS36))</f>
        <v>0</v>
      </c>
      <c r="H36" s="2">
        <f>IF(SUM(X36,AF36,AN36,AV36,BD36,BL36,BT36)&lt;&gt;COUNTIF(Экология!$N$1:$N$1000,"Победитель"),"Ошибка",SUM(X36,AF36,AN36,AV36,BD36,BL36,BT36))</f>
        <v>0</v>
      </c>
      <c r="I36" s="2">
        <f t="shared" si="12"/>
        <v>0</v>
      </c>
      <c r="J36" s="2">
        <f t="shared" si="13"/>
        <v>0</v>
      </c>
      <c r="K36" s="2">
        <f t="shared" si="14"/>
        <v>0</v>
      </c>
      <c r="L36" s="2"/>
      <c r="M36" s="2"/>
      <c r="N36" s="2"/>
      <c r="O36" s="2"/>
      <c r="P36" s="2"/>
      <c r="Q36" s="2"/>
      <c r="R36" s="2"/>
      <c r="S36" s="2"/>
      <c r="T36" s="2">
        <f>COUNTIF(Экология!$H$1:$H$1000,5)</f>
        <v>0</v>
      </c>
      <c r="U36" s="169">
        <f>COUNTIFS(Экология!$H$1:$H$1000,5,Экология!$G$1:$G$1000,"&lt;5")</f>
        <v>0</v>
      </c>
      <c r="V36" s="169">
        <f>COUNTIFS(Экология!$H$1:$H$1000,5,Экология!$J$1:$J$1000,"имеются")</f>
        <v>0</v>
      </c>
      <c r="W36" s="2">
        <f>COUNTIFS(Экология!$H$1:$H$1000,5,Экология!$N$1:$N$1000,"Призер")</f>
        <v>0</v>
      </c>
      <c r="X36" s="2">
        <f>COUNTIFS(Экология!$H$1:$H$1000,5,Экология!$N$1:$N$1000,"Победитель")</f>
        <v>0</v>
      </c>
      <c r="Y36" s="2">
        <f>COUNTIFS(Экология!$H$1:$H$1000,5,Экология!$N$1:$N$1000,"Победитель",Экология!$M$1:$M$1000,"100%")</f>
        <v>0</v>
      </c>
      <c r="Z36" s="2">
        <f>COUNTIFS(Экология!$H$1:$H$1000,5,Экология!$N$1:$N$1000,"Призер",Экология!$J$1:$J$1000,"имеются")</f>
        <v>0</v>
      </c>
      <c r="AA36" s="2">
        <f>COUNTIFS(Экология!$H$1:$H$1000,5,Экология!$N$1:$N$1000,"Победитель",Экология!$J$1:$J$1000,"имеются")</f>
        <v>0</v>
      </c>
      <c r="AB36" s="2">
        <f>COUNTIF(Экология!$H$1:$H$1000,6)</f>
        <v>0</v>
      </c>
      <c r="AC36" s="169">
        <f>COUNTIFS(Экология!$H$1:$H$1000,6,Экология!$G$1:$G$1000,"&lt;6")</f>
        <v>0</v>
      </c>
      <c r="AD36" s="169">
        <f>COUNTIFS(Экология!$H$1:$H$1000,6,Экология!$J$1:$J$1000,"имеются")</f>
        <v>0</v>
      </c>
      <c r="AE36" s="2">
        <f>COUNTIFS(Экология!$H$1:$H$1000,6,Экология!$N$1:$N$1000,"Призер")</f>
        <v>0</v>
      </c>
      <c r="AF36" s="2">
        <f>COUNTIFS(Экология!$H$1:$H$1000,6,Экология!$N$1:$N$1000,"Победитель")</f>
        <v>0</v>
      </c>
      <c r="AG36" s="2">
        <f>COUNTIFS(Экология!$H$1:$H$1000,6,Экология!$N$1:$N$1000,"Победитель",Экология!$M$1:$M$1000,"100%")</f>
        <v>0</v>
      </c>
      <c r="AH36" s="2">
        <f>COUNTIFS(Экология!$H$1:$H$1000,6,Экология!$N$1:$N$1000,"Призер",Экология!$J$1:$J$1000,"имеются")</f>
        <v>0</v>
      </c>
      <c r="AI36" s="2">
        <f>COUNTIFS(Экология!$H$1:$H$1000,6,Экология!$N$1:$N$1000,"Победитель",Экология!$J$1:$J$1000,"имеются")</f>
        <v>0</v>
      </c>
      <c r="AJ36" s="2">
        <f>COUNTIF(Экология!$H$1:$H$1000,7)</f>
        <v>0</v>
      </c>
      <c r="AK36" s="169">
        <f>COUNTIFS(Экология!$H$1:$H$1000,7,Экология!$G$1:$G$1000,"&lt;7")</f>
        <v>0</v>
      </c>
      <c r="AL36" s="169">
        <f>COUNTIFS(Экология!$H$1:$H$1000,7,Экология!$J$1:$J$1000,"имеются")</f>
        <v>0</v>
      </c>
      <c r="AM36" s="2">
        <f>COUNTIFS(Экология!$H$1:$H$1000,7,Экология!$N$1:$N$1000,"Призер")</f>
        <v>0</v>
      </c>
      <c r="AN36" s="2">
        <f>COUNTIFS(Экология!$H$1:$H$1000,7,Экология!$N$1:$N$1000,"Победитель")</f>
        <v>0</v>
      </c>
      <c r="AO36" s="2">
        <f>COUNTIFS(Экология!$H$1:$H$1000,7,Экология!$N$1:$N$1000,"Победитель",Экология!$M$1:$M$1000,"100%")</f>
        <v>0</v>
      </c>
      <c r="AP36" s="2">
        <f>COUNTIFS(Экология!$H$1:$H$1000,7,Экология!$N$1:$N$1000,"Призер",Экология!$J$1:$J$1000,"имеются")</f>
        <v>0</v>
      </c>
      <c r="AQ36" s="2">
        <f>COUNTIFS(Экология!$H$1:$H$1000,7,Экология!$N$1:$N$1000,"Победитель",Экология!$J$1:$J$1000,"имеются")</f>
        <v>0</v>
      </c>
      <c r="AR36" s="2">
        <f>COUNTIF(Экология!$H$1:$H$1000,8)</f>
        <v>0</v>
      </c>
      <c r="AS36" s="169">
        <f>COUNTIFS(Экология!$H$1:$H$1000,8,Экология!$G$1:$G$1000,"&lt;8")</f>
        <v>0</v>
      </c>
      <c r="AT36" s="169">
        <f>COUNTIFS(Экология!$H$1:$H$1000,8,Экология!$J$1:$J$1000,"имеются")</f>
        <v>0</v>
      </c>
      <c r="AU36" s="2">
        <f>COUNTIFS(Экология!$H$1:$H$1000,8,Экология!$N$1:$N$1000,"Призер")</f>
        <v>0</v>
      </c>
      <c r="AV36" s="2">
        <f>COUNTIFS(Экология!$H$1:$H$1000,8,Экология!$N$1:$N$1000,"Победитель")</f>
        <v>0</v>
      </c>
      <c r="AW36" s="2">
        <f>COUNTIFS(Экология!$H$1:$H$1000,8,Экология!$N$1:$N$1000,"Победитель",Экология!$M$1:$M$1000,"100%")</f>
        <v>0</v>
      </c>
      <c r="AX36" s="2">
        <f>COUNTIFS(Экология!$H$1:$H$1000,8,Экология!$N$1:$N$1000,"Призер",Экология!$J$1:$J$1000,"имеются")</f>
        <v>0</v>
      </c>
      <c r="AY36" s="2">
        <f>COUNTIFS(Экология!$H$1:$H$1000,8,Экология!$N$1:$N$1000,"Победитель",Экология!$J$1:$J$1000,"имеются")</f>
        <v>0</v>
      </c>
      <c r="AZ36" s="2">
        <f>COUNTIF(Экология!$H$1:$H$1000,9)</f>
        <v>0</v>
      </c>
      <c r="BA36" s="169">
        <f>COUNTIFS(Экология!$H$1:$H$1000,9,Экология!$G$1:$G$1000,"&lt;9")</f>
        <v>0</v>
      </c>
      <c r="BB36" s="169">
        <f>COUNTIFS(Экология!$H$1:$H$1000,9,Экология!$J$1:$J$1000,"имеются")</f>
        <v>0</v>
      </c>
      <c r="BC36" s="2">
        <f>COUNTIFS(Экология!$H$1:$H$1000,9,Экология!$N$1:$N$1000,"Призер")</f>
        <v>0</v>
      </c>
      <c r="BD36" s="2">
        <f>COUNTIFS(Экология!$H$1:$H$1000,9,Экология!$N$1:$N$1000,"Победитель")</f>
        <v>0</v>
      </c>
      <c r="BE36" s="2">
        <f>COUNTIFS(Экология!$H$1:$H$1000,9,Экология!$N$1:$N$1000,"Победитель",Экология!$M$1:$M$1000,"100%")</f>
        <v>0</v>
      </c>
      <c r="BF36" s="2">
        <f>COUNTIFS(Экология!$H$1:$H$1000,9,Экология!$N$1:$N$1000,"Призер",Экология!$J$1:$J$1000,"имеются")</f>
        <v>0</v>
      </c>
      <c r="BG36" s="2">
        <f>COUNTIFS(Экология!$H$1:$H$1000,9,Экология!$N$1:$N$1000,"Победитель",Экология!$J$1:$J$1000,"имеются")</f>
        <v>0</v>
      </c>
      <c r="BH36" s="2">
        <f>COUNTIF(Экология!$H$1:$H$1000,10)</f>
        <v>0</v>
      </c>
      <c r="BI36" s="169">
        <f>COUNTIFS(Экология!$H$1:$H$1000,10,Экология!$G$1:$G$1000,"&lt;10")</f>
        <v>0</v>
      </c>
      <c r="BJ36" s="169">
        <f>COUNTIFS(Экология!$H$1:$H$1000,10,Экология!$J$1:$J$1000,"имеются")</f>
        <v>0</v>
      </c>
      <c r="BK36" s="2">
        <f>COUNTIFS(Экология!$H$1:$H$1000,10,Экология!$N$1:$N$1000,"Призер")</f>
        <v>0</v>
      </c>
      <c r="BL36" s="2">
        <f>COUNTIFS(Экология!$H$1:$H$1000,10,Экология!$N$1:$N$1000,"Победитель")</f>
        <v>0</v>
      </c>
      <c r="BM36" s="2">
        <f>COUNTIFS(Экология!$H$1:$H$1000,10,Экология!$N$1:$N$1000,"Победитель",Экология!$M$1:$M$1000,"100%")</f>
        <v>0</v>
      </c>
      <c r="BN36" s="2">
        <f>COUNTIFS(Экология!$H$1:$H$1000,10,Экология!$N$1:$N$1000,"Призер",Экология!$J$1:$J$1000,"имеются")</f>
        <v>0</v>
      </c>
      <c r="BO36" s="2">
        <f>COUNTIFS(Экология!$H$1:$H$1000,10,Экология!$N$1:$N$1000,"Победитель",Экология!$J$1:$J$1000,"имеются")</f>
        <v>0</v>
      </c>
      <c r="BP36" s="2">
        <f>COUNTIF(Экология!$H$1:$H$1000,11)</f>
        <v>2</v>
      </c>
      <c r="BQ36" s="169">
        <f>COUNTIFS(Экология!$H$1:$H$1000,11,Экология!$G$1:$G$1000,"&lt;11")</f>
        <v>0</v>
      </c>
      <c r="BR36" s="169">
        <f>COUNTIFS(Экология!$H$1:$H$1000,11,Экология!$J$1:$J$1000,"имеются")</f>
        <v>0</v>
      </c>
      <c r="BS36" s="2">
        <f>COUNTIFS(Экология!$H$1:$H$1000,11,Экология!$N$1:$N$1000,"Призер")</f>
        <v>0</v>
      </c>
      <c r="BT36" s="2">
        <f>COUNTIFS(Экология!$H$1:$H$1000,11,Экология!$N$1:$N$1000,"Победитель")</f>
        <v>0</v>
      </c>
      <c r="BU36" s="2">
        <f>COUNTIFS(Экология!$H$1:$H$1000,11,Экология!$N$1:$N$1000,"Победитель",Экология!$M$1:$M$1000,"100%")</f>
        <v>0</v>
      </c>
      <c r="BV36" s="2">
        <f>COUNTIFS(Экология!$H$1:$H$1000,11,Экология!$N$1:$N$1000,"Призер",Экология!$J$1:$J$1000,"имеются")</f>
        <v>0</v>
      </c>
      <c r="BW36" s="2">
        <f>COUNTIFS(Экология!$H$1:$H$1000,11,Экология!$N$1:$N$1000,"Победитель",Экология!$J$1:$J$1000,"имеются")</f>
        <v>0</v>
      </c>
      <c r="BX36" s="100">
        <f t="shared" si="1"/>
        <v>0</v>
      </c>
    </row>
    <row r="37" spans="1:76">
      <c r="A37" s="34">
        <v>24</v>
      </c>
      <c r="B37" s="32" t="s">
        <v>23</v>
      </c>
      <c r="C37" s="15">
        <f t="shared" si="0"/>
        <v>1</v>
      </c>
      <c r="D37" s="2">
        <f t="shared" si="11"/>
        <v>3</v>
      </c>
      <c r="E37" s="2">
        <f t="shared" si="11"/>
        <v>0</v>
      </c>
      <c r="F37" s="2">
        <f t="shared" si="4"/>
        <v>0</v>
      </c>
      <c r="G37" s="2">
        <f>IF(SUM(W37,AE37,AM37,AU37,BC37,BK37,BS37)&lt;&gt;COUNTIF(Экономика!$N$1:$N$1000,"Призер"),"Ошибка",SUM(W37,AE37,AM37,AU37,BC37,BK37,BS37))</f>
        <v>0</v>
      </c>
      <c r="H37" s="2">
        <f>IF(SUM(X37,AF37,AN37,AV37,BD37,BL37,BT37)&lt;&gt;COUNTIF(Экономика!$N$1:$N$1000,"Победитель"),"Ошибка",SUM(X37,AF37,AN37,AV37,BD37,BL37,BT37))</f>
        <v>0</v>
      </c>
      <c r="I37" s="2">
        <f t="shared" si="12"/>
        <v>0</v>
      </c>
      <c r="J37" s="2">
        <f t="shared" si="13"/>
        <v>0</v>
      </c>
      <c r="K37" s="2">
        <f t="shared" si="14"/>
        <v>0</v>
      </c>
      <c r="L37" s="2"/>
      <c r="M37" s="2"/>
      <c r="N37" s="2"/>
      <c r="O37" s="2"/>
      <c r="P37" s="2"/>
      <c r="Q37" s="2"/>
      <c r="R37" s="2"/>
      <c r="S37" s="2"/>
      <c r="T37" s="2">
        <f>COUNTIF(Экономика!$H$1:$H$1000,5)</f>
        <v>0</v>
      </c>
      <c r="U37" s="169">
        <f>COUNTIFS(Экономика!$H$1:$H$1000,5,Экономика!$G$1:$G$1000,"&lt;5")</f>
        <v>0</v>
      </c>
      <c r="V37" s="169">
        <f>COUNTIFS(Экономика!$H$1:$H$1000,5,Экономика!$J$1:$J$1000,"имеются")</f>
        <v>0</v>
      </c>
      <c r="W37" s="2">
        <f>COUNTIFS(Экономика!$H$1:$H$1000,5,Экономика!$N$1:$N$1000,"Призер")</f>
        <v>0</v>
      </c>
      <c r="X37" s="2">
        <f>COUNTIFS(Экономика!$H$1:$H$1000,5,Экономика!$N$1:$N$1000,"Победитель")</f>
        <v>0</v>
      </c>
      <c r="Y37" s="2">
        <f>COUNTIFS(Экономика!$H$1:$H$1000,5,Экономика!$N$1:$N$1000,"Победитель",Экономика!$M$1:$M$1000,"100%")</f>
        <v>0</v>
      </c>
      <c r="Z37" s="2">
        <f>COUNTIFS(Экономика!$H$1:$H$1000,5,Экономика!$N$1:$N$1000,"Призер",Экономика!$J$1:$J$1000,"имеются")</f>
        <v>0</v>
      </c>
      <c r="AA37" s="2">
        <f>COUNTIFS(Экономика!$H$1:$H$1000,5,Экономика!$N$1:$N$1000,"Победитель",Экономика!$J$1:$J$1000,"имеются")</f>
        <v>0</v>
      </c>
      <c r="AB37" s="2">
        <f>COUNTIF(Экономика!$H$1:$H$1000,6)</f>
        <v>0</v>
      </c>
      <c r="AC37" s="169">
        <f>COUNTIFS(Экономика!$H$1:$H$1000,6,Экономика!$G$1:$G$1000,"&lt;6")</f>
        <v>0</v>
      </c>
      <c r="AD37" s="169">
        <f>COUNTIFS(Экономика!$H$1:$H$1000,6,Экономика!$J$1:$J$1000,"имеются")</f>
        <v>0</v>
      </c>
      <c r="AE37" s="2">
        <f>COUNTIFS(Экономика!$H$1:$H$1000,6,Экономика!$N$1:$N$1000,"Призер")</f>
        <v>0</v>
      </c>
      <c r="AF37" s="2">
        <f>COUNTIFS(Экономика!$H$1:$H$1000,6,Экономика!$N$1:$N$1000,"Победитель")</f>
        <v>0</v>
      </c>
      <c r="AG37" s="2">
        <f>COUNTIFS(Экономика!$H$1:$H$1000,6,Экономика!$N$1:$N$1000,"Победитель",Экономика!$M$1:$M$1000,"100%")</f>
        <v>0</v>
      </c>
      <c r="AH37" s="2">
        <f>COUNTIFS(Экономика!$H$1:$H$1000,6,Экономика!$N$1:$N$1000,"Призер",Экономика!$J$1:$J$1000,"имеются")</f>
        <v>0</v>
      </c>
      <c r="AI37" s="2">
        <f>COUNTIFS(Экономика!$H$1:$H$1000,6,Экономика!$N$1:$N$1000,"Победитель",Экономика!$J$1:$J$1000,"имеются")</f>
        <v>0</v>
      </c>
      <c r="AJ37" s="2">
        <f>COUNTIF(Экономика!$H$1:$H$1000,7)</f>
        <v>0</v>
      </c>
      <c r="AK37" s="169">
        <f>COUNTIFS(Экономика!$H$1:$H$1000,7,Экономика!$G$1:$G$1000,"&lt;7")</f>
        <v>0</v>
      </c>
      <c r="AL37" s="169">
        <f>COUNTIFS(Экономика!$H$1:$H$1000,7,Экономика!$J$1:$J$1000,"имеются")</f>
        <v>0</v>
      </c>
      <c r="AM37" s="2">
        <f>COUNTIFS(Экономика!$H$1:$H$1000,7,Экономика!$N$1:$N$1000,"Призер")</f>
        <v>0</v>
      </c>
      <c r="AN37" s="2">
        <f>COUNTIFS(Экономика!$H$1:$H$1000,7,Экономика!$N$1:$N$1000,"Победитель")</f>
        <v>0</v>
      </c>
      <c r="AO37" s="2">
        <f>COUNTIFS(Экономика!$H$1:$H$1000,7,Экономика!$N$1:$N$1000,"Победитель",Экономика!$M$1:$M$1000,"100%")</f>
        <v>0</v>
      </c>
      <c r="AP37" s="2">
        <f>COUNTIFS(Экономика!$H$1:$H$1000,7,Экономика!$N$1:$N$1000,"Призер",Экономика!$J$1:$J$1000,"имеются")</f>
        <v>0</v>
      </c>
      <c r="AQ37" s="2">
        <f>COUNTIFS(Экономика!$H$1:$H$1000,7,Экономика!$N$1:$N$1000,"Победитель",Экономика!$J$1:$J$1000,"имеются")</f>
        <v>0</v>
      </c>
      <c r="AR37" s="2">
        <f>COUNTIF(Экономика!$H$1:$H$1000,8)</f>
        <v>0</v>
      </c>
      <c r="AS37" s="169">
        <f>COUNTIFS(Экономика!$H$1:$H$1000,8,Экономика!$G$1:$G$1000,"&lt;8")</f>
        <v>0</v>
      </c>
      <c r="AT37" s="169">
        <f>COUNTIFS(Экономика!$H$1:$H$1000,8,Экономика!$J$1:$J$1000,"имеются")</f>
        <v>0</v>
      </c>
      <c r="AU37" s="2">
        <f>COUNTIFS(Экономика!$H$1:$H$1000,8,Экономика!$N$1:$N$1000,"Призер")</f>
        <v>0</v>
      </c>
      <c r="AV37" s="2">
        <f>COUNTIFS(Экономика!$H$1:$H$1000,8,Экономика!$N$1:$N$1000,"Победитель")</f>
        <v>0</v>
      </c>
      <c r="AW37" s="2">
        <f>COUNTIFS(Экономика!$H$1:$H$1000,8,Экономика!$N$1:$N$1000,"Победитель",Экономика!$M$1:$M$1000,"100%")</f>
        <v>0</v>
      </c>
      <c r="AX37" s="2">
        <f>COUNTIFS(Экономика!$H$1:$H$1000,8,Экономика!$N$1:$N$1000,"Призер",Экономика!$J$1:$J$1000,"имеются")</f>
        <v>0</v>
      </c>
      <c r="AY37" s="2">
        <f>COUNTIFS(Экономика!$H$1:$H$1000,8,Экономика!$N$1:$N$1000,"Победитель",Экономика!$J$1:$J$1000,"имеются")</f>
        <v>0</v>
      </c>
      <c r="AZ37" s="2">
        <f>COUNTIF(Экономика!$H$1:$H$1000,9)</f>
        <v>0</v>
      </c>
      <c r="BA37" s="169">
        <f>COUNTIFS(Экономика!$H$1:$H$1000,9,Экономика!$G$1:$G$1000,"&lt;9")</f>
        <v>0</v>
      </c>
      <c r="BB37" s="169">
        <f>COUNTIFS(Экономика!$H$1:$H$1000,9,Экономика!$J$1:$J$1000,"имеются")</f>
        <v>0</v>
      </c>
      <c r="BC37" s="2">
        <f>COUNTIFS(Экономика!$H$1:$H$1000,9,Экономика!$N$1:$N$1000,"Призер")</f>
        <v>0</v>
      </c>
      <c r="BD37" s="2">
        <f>COUNTIFS(Экономика!$H$1:$H$1000,9,Экономика!$N$1:$N$1000,"Победитель")</f>
        <v>0</v>
      </c>
      <c r="BE37" s="2">
        <f>COUNTIFS(Экономика!$H$1:$H$1000,9,Экономика!$N$1:$N$1000,"Победитель",Экономика!$M$1:$M$1000,"100%")</f>
        <v>0</v>
      </c>
      <c r="BF37" s="2">
        <f>COUNTIFS(Экономика!$H$1:$H$1000,9,Экономика!$N$1:$N$1000,"Призер",Экономика!$J$1:$J$1000,"имеются")</f>
        <v>0</v>
      </c>
      <c r="BG37" s="2">
        <f>COUNTIFS(Экономика!$H$1:$H$1000,9,Экономика!$N$1:$N$1000,"Победитель",Экономика!$J$1:$J$1000,"имеются")</f>
        <v>0</v>
      </c>
      <c r="BH37" s="2">
        <f>COUNTIF(Экономика!$H$1:$H$1000,10)</f>
        <v>1</v>
      </c>
      <c r="BI37" s="169">
        <f>COUNTIFS(Экономика!$H$1:$H$1000,10,Экономика!$G$1:$G$1000,"&lt;10")</f>
        <v>0</v>
      </c>
      <c r="BJ37" s="169">
        <f>COUNTIFS(Экономика!$H$1:$H$1000,10,Экономика!$J$1:$J$1000,"имеются")</f>
        <v>0</v>
      </c>
      <c r="BK37" s="2">
        <f>COUNTIFS(Экономика!$H$1:$H$1000,10,Экономика!$N$1:$N$1000,"Призер")</f>
        <v>0</v>
      </c>
      <c r="BL37" s="2">
        <f>COUNTIFS(Экономика!$H$1:$H$1000,10,Экономика!$N$1:$N$1000,"Победитель")</f>
        <v>0</v>
      </c>
      <c r="BM37" s="2">
        <f>COUNTIFS(Экономика!$H$1:$H$1000,10,Экономика!$N$1:$N$1000,"Победитель",Экономика!$M$1:$M$1000,"100%")</f>
        <v>0</v>
      </c>
      <c r="BN37" s="2">
        <f>COUNTIFS(Экономика!$H$1:$H$1000,10,Экономика!$N$1:$N$1000,"Призер",Экономика!$J$1:$J$1000,"имеются")</f>
        <v>0</v>
      </c>
      <c r="BO37" s="2">
        <f>COUNTIFS(Экономика!$H$1:$H$1000,10,Экономика!$N$1:$N$1000,"Победитель",Экономика!$J$1:$J$1000,"имеются")</f>
        <v>0</v>
      </c>
      <c r="BP37" s="2">
        <f>COUNTIF(Экономика!$H$1:$H$1000,11)</f>
        <v>2</v>
      </c>
      <c r="BQ37" s="169">
        <f>COUNTIFS(Экономика!$H$1:$H$1000,11,Экономика!$G$1:$G$1000,"&lt;11")</f>
        <v>0</v>
      </c>
      <c r="BR37" s="169">
        <f>COUNTIFS(Экономика!$H$1:$H$1000,11,Экономика!$J$1:$J$1000,"имеются")</f>
        <v>0</v>
      </c>
      <c r="BS37" s="2">
        <f>COUNTIFS(Экономика!$H$1:$H$1000,11,Экономика!$N$1:$N$1000,"Призер")</f>
        <v>0</v>
      </c>
      <c r="BT37" s="2">
        <f>COUNTIFS(Экономика!$H$1:$H$1000,11,Экономика!$N$1:$N$1000,"Победитель")</f>
        <v>0</v>
      </c>
      <c r="BU37" s="2">
        <f>COUNTIFS(Экономика!$H$1:$H$1000,11,Экономика!$N$1:$N$1000,"Победитель",Экономика!$M$1:$M$1000,"100%")</f>
        <v>0</v>
      </c>
      <c r="BV37" s="2">
        <f>COUNTIFS(Экономика!$H$1:$H$1000,11,Экономика!$N$1:$N$1000,"Призер",Экономика!$J$1:$J$1000,"имеются")</f>
        <v>0</v>
      </c>
      <c r="BW37" s="2">
        <f>COUNTIFS(Экономика!$H$1:$H$1000,11,Экономика!$N$1:$N$1000,"Победитель",Экономика!$J$1:$J$1000,"имеются")</f>
        <v>0</v>
      </c>
      <c r="BX37" s="100">
        <f t="shared" si="1"/>
        <v>0</v>
      </c>
    </row>
    <row r="38" spans="1:76">
      <c r="A38" s="303" t="s">
        <v>47</v>
      </c>
      <c r="B38" s="303"/>
      <c r="C38" s="303"/>
      <c r="D38" s="101">
        <f t="shared" ref="D38:BU38" si="15">SUM(D14:D37)</f>
        <v>572</v>
      </c>
      <c r="E38" s="101">
        <f t="shared" si="15"/>
        <v>0</v>
      </c>
      <c r="F38" s="101">
        <f t="shared" si="15"/>
        <v>0</v>
      </c>
      <c r="G38" s="101">
        <f t="shared" si="15"/>
        <v>43</v>
      </c>
      <c r="H38" s="101">
        <f t="shared" si="15"/>
        <v>28</v>
      </c>
      <c r="I38" s="101">
        <f t="shared" si="15"/>
        <v>0</v>
      </c>
      <c r="J38" s="101">
        <f t="shared" si="15"/>
        <v>0</v>
      </c>
      <c r="K38" s="101">
        <f t="shared" si="15"/>
        <v>0</v>
      </c>
      <c r="L38" s="101">
        <f t="shared" si="15"/>
        <v>52</v>
      </c>
      <c r="M38" s="101">
        <f t="shared" si="15"/>
        <v>0</v>
      </c>
      <c r="N38" s="101">
        <f t="shared" si="15"/>
        <v>0</v>
      </c>
      <c r="O38" s="101">
        <f t="shared" si="15"/>
        <v>1</v>
      </c>
      <c r="P38" s="101">
        <f t="shared" si="15"/>
        <v>1</v>
      </c>
      <c r="Q38" s="101">
        <f t="shared" si="15"/>
        <v>0</v>
      </c>
      <c r="R38" s="101">
        <f t="shared" si="15"/>
        <v>0</v>
      </c>
      <c r="S38" s="101">
        <f t="shared" si="15"/>
        <v>0</v>
      </c>
      <c r="T38" s="101">
        <f t="shared" si="15"/>
        <v>47</v>
      </c>
      <c r="U38" s="101">
        <f t="shared" si="15"/>
        <v>0</v>
      </c>
      <c r="V38" s="101">
        <f t="shared" si="15"/>
        <v>0</v>
      </c>
      <c r="W38" s="101">
        <f t="shared" si="15"/>
        <v>6</v>
      </c>
      <c r="X38" s="101">
        <f t="shared" si="15"/>
        <v>3</v>
      </c>
      <c r="Y38" s="101">
        <f t="shared" si="15"/>
        <v>0</v>
      </c>
      <c r="Z38" s="101">
        <f t="shared" si="15"/>
        <v>0</v>
      </c>
      <c r="AA38" s="101">
        <f t="shared" si="15"/>
        <v>0</v>
      </c>
      <c r="AB38" s="101">
        <f t="shared" si="15"/>
        <v>63</v>
      </c>
      <c r="AC38" s="101">
        <f t="shared" si="15"/>
        <v>0</v>
      </c>
      <c r="AD38" s="101">
        <f t="shared" si="15"/>
        <v>0</v>
      </c>
      <c r="AE38" s="101">
        <f t="shared" si="15"/>
        <v>6</v>
      </c>
      <c r="AF38" s="101">
        <f t="shared" si="15"/>
        <v>3</v>
      </c>
      <c r="AG38" s="101">
        <f t="shared" si="15"/>
        <v>0</v>
      </c>
      <c r="AH38" s="101">
        <f t="shared" si="15"/>
        <v>0</v>
      </c>
      <c r="AI38" s="101">
        <f t="shared" si="15"/>
        <v>0</v>
      </c>
      <c r="AJ38" s="101">
        <f t="shared" si="15"/>
        <v>58</v>
      </c>
      <c r="AK38" s="101">
        <f t="shared" si="15"/>
        <v>0</v>
      </c>
      <c r="AL38" s="101">
        <f t="shared" si="15"/>
        <v>0</v>
      </c>
      <c r="AM38" s="101">
        <f t="shared" si="15"/>
        <v>4</v>
      </c>
      <c r="AN38" s="101">
        <f t="shared" si="15"/>
        <v>3</v>
      </c>
      <c r="AO38" s="101">
        <f t="shared" si="15"/>
        <v>0</v>
      </c>
      <c r="AP38" s="101">
        <f t="shared" si="15"/>
        <v>0</v>
      </c>
      <c r="AQ38" s="101">
        <f t="shared" si="15"/>
        <v>0</v>
      </c>
      <c r="AR38" s="101">
        <f t="shared" si="15"/>
        <v>93</v>
      </c>
      <c r="AS38" s="101">
        <f t="shared" si="15"/>
        <v>0</v>
      </c>
      <c r="AT38" s="101">
        <f t="shared" si="15"/>
        <v>0</v>
      </c>
      <c r="AU38" s="101">
        <f t="shared" si="15"/>
        <v>5</v>
      </c>
      <c r="AV38" s="101">
        <f t="shared" si="15"/>
        <v>4</v>
      </c>
      <c r="AW38" s="101">
        <f t="shared" si="15"/>
        <v>0</v>
      </c>
      <c r="AX38" s="101">
        <f t="shared" si="15"/>
        <v>0</v>
      </c>
      <c r="AY38" s="101">
        <f t="shared" si="15"/>
        <v>0</v>
      </c>
      <c r="AZ38" s="101">
        <f t="shared" si="15"/>
        <v>114</v>
      </c>
      <c r="BA38" s="101">
        <f t="shared" si="15"/>
        <v>0</v>
      </c>
      <c r="BB38" s="101">
        <f t="shared" si="15"/>
        <v>0</v>
      </c>
      <c r="BC38" s="101">
        <f t="shared" si="15"/>
        <v>8</v>
      </c>
      <c r="BD38" s="101">
        <f t="shared" si="15"/>
        <v>5</v>
      </c>
      <c r="BE38" s="101">
        <f t="shared" si="15"/>
        <v>0</v>
      </c>
      <c r="BF38" s="101">
        <f t="shared" si="15"/>
        <v>0</v>
      </c>
      <c r="BG38" s="101">
        <f t="shared" si="15"/>
        <v>0</v>
      </c>
      <c r="BH38" s="101">
        <f t="shared" si="15"/>
        <v>68</v>
      </c>
      <c r="BI38" s="101">
        <f t="shared" si="15"/>
        <v>0</v>
      </c>
      <c r="BJ38" s="101">
        <f t="shared" si="15"/>
        <v>0</v>
      </c>
      <c r="BK38" s="101">
        <f t="shared" si="15"/>
        <v>6</v>
      </c>
      <c r="BL38" s="101">
        <f t="shared" si="15"/>
        <v>3</v>
      </c>
      <c r="BM38" s="101">
        <f t="shared" si="15"/>
        <v>0</v>
      </c>
      <c r="BN38" s="101">
        <f t="shared" si="15"/>
        <v>0</v>
      </c>
      <c r="BO38" s="101">
        <f t="shared" si="15"/>
        <v>0</v>
      </c>
      <c r="BP38" s="101">
        <f t="shared" si="15"/>
        <v>77</v>
      </c>
      <c r="BQ38" s="101">
        <f t="shared" si="15"/>
        <v>0</v>
      </c>
      <c r="BR38" s="101">
        <f t="shared" si="15"/>
        <v>0</v>
      </c>
      <c r="BS38" s="101">
        <f t="shared" si="15"/>
        <v>7</v>
      </c>
      <c r="BT38" s="101">
        <f t="shared" si="15"/>
        <v>6</v>
      </c>
      <c r="BU38" s="101">
        <f t="shared" si="15"/>
        <v>0</v>
      </c>
      <c r="BV38" s="101">
        <f>SUM(BV14:BV37)</f>
        <v>0</v>
      </c>
      <c r="BW38" s="101">
        <f>SUM(BW14:BW37)</f>
        <v>0</v>
      </c>
      <c r="BX38" s="33"/>
    </row>
    <row r="39" spans="1:76">
      <c r="G39" s="35"/>
    </row>
    <row r="41" spans="1:76">
      <c r="AB41" s="163"/>
      <c r="AC41" s="163"/>
      <c r="AD41" s="163"/>
      <c r="AE41" s="163"/>
      <c r="AF41" s="309"/>
      <c r="AG41" s="309"/>
      <c r="AH41" s="209"/>
      <c r="AI41" s="209"/>
      <c r="AJ41" s="209"/>
      <c r="AK41" s="163"/>
      <c r="AL41" s="163"/>
      <c r="AM41" s="163"/>
      <c r="AN41" s="163"/>
      <c r="AO41" s="163"/>
      <c r="AP41" s="163"/>
      <c r="AQ41" s="163"/>
      <c r="AR41" s="209"/>
      <c r="AS41" s="209"/>
      <c r="AT41" s="209"/>
      <c r="AU41" s="163"/>
      <c r="AV41" s="163"/>
      <c r="AW41" s="163"/>
      <c r="AX41" s="163"/>
      <c r="AY41" s="163"/>
      <c r="AZ41" s="309"/>
      <c r="BA41" s="309"/>
      <c r="BB41" s="209"/>
      <c r="BC41" s="209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</row>
    <row r="42" spans="1:76">
      <c r="C42" s="293">
        <f ca="1">TODAY()</f>
        <v>43748</v>
      </c>
      <c r="D42" s="293"/>
      <c r="E42" s="154"/>
      <c r="F42" s="154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</row>
    <row r="43" spans="1:76" ht="12.75" customHeight="1">
      <c r="AB43" s="163"/>
      <c r="AC43" s="163"/>
      <c r="AD43" s="163"/>
      <c r="AE43" s="163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3"/>
      <c r="AV43" s="163"/>
      <c r="AW43" s="163"/>
      <c r="AX43" s="163"/>
      <c r="AY43" s="163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</row>
    <row r="44" spans="1:76" ht="13.15" customHeight="1">
      <c r="B44" s="162"/>
      <c r="C44" s="301" t="s">
        <v>48</v>
      </c>
      <c r="D44" s="301"/>
      <c r="E44" s="301"/>
      <c r="F44" s="301"/>
      <c r="G44" s="301"/>
      <c r="H44" s="301"/>
      <c r="AB44" s="311"/>
      <c r="AC44" s="311"/>
      <c r="AD44" s="311"/>
      <c r="AE44" s="311"/>
      <c r="AF44" s="311"/>
      <c r="AG44" s="311"/>
      <c r="AH44" s="210"/>
      <c r="AI44" s="210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3"/>
      <c r="AV44" s="211"/>
      <c r="AW44" s="211"/>
      <c r="AX44" s="211"/>
      <c r="AY44" s="211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</row>
    <row r="45" spans="1:76">
      <c r="B45" s="162"/>
      <c r="C45" s="301"/>
      <c r="D45" s="301"/>
      <c r="E45" s="301"/>
      <c r="F45" s="301"/>
      <c r="G45" s="301"/>
      <c r="H45" s="301"/>
      <c r="I45" s="36"/>
      <c r="J45" s="36"/>
      <c r="K45" s="36"/>
      <c r="L45" s="36"/>
      <c r="M45" s="36"/>
      <c r="N45" s="308" t="s">
        <v>709</v>
      </c>
      <c r="O45" s="308"/>
      <c r="P45" s="308"/>
      <c r="Q45" s="308"/>
      <c r="R45" s="36"/>
      <c r="S45" s="36"/>
      <c r="T45" s="294"/>
      <c r="U45" s="294"/>
      <c r="V45" s="294"/>
      <c r="W45" s="294"/>
      <c r="AB45" s="311"/>
      <c r="AC45" s="311"/>
      <c r="AD45" s="311"/>
      <c r="AE45" s="311"/>
      <c r="AF45" s="311"/>
      <c r="AG45" s="311"/>
      <c r="AH45" s="210"/>
      <c r="AI45" s="210"/>
      <c r="AJ45" s="211"/>
      <c r="AK45" s="211"/>
      <c r="AL45" s="211"/>
      <c r="AM45" s="163"/>
      <c r="AN45" s="294"/>
      <c r="AO45" s="294"/>
      <c r="AP45" s="294"/>
      <c r="AQ45" s="294"/>
      <c r="AR45" s="294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212"/>
      <c r="BD45" s="212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</row>
    <row r="46" spans="1:76"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</row>
    <row r="47" spans="1:76"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</row>
  </sheetData>
  <sheetProtection formatCells="0" formatColumns="0" formatRows="0" insertHyperlinks="0" sort="0" autoFilter="0" pivotTables="0"/>
  <mergeCells count="65">
    <mergeCell ref="BV8:BW11"/>
    <mergeCell ref="N45:Q45"/>
    <mergeCell ref="AP8:AQ11"/>
    <mergeCell ref="AR11:AV11"/>
    <mergeCell ref="AX8:AY11"/>
    <mergeCell ref="BF8:BG11"/>
    <mergeCell ref="AZ11:BD11"/>
    <mergeCell ref="BN8:BO11"/>
    <mergeCell ref="BH11:BL11"/>
    <mergeCell ref="T11:X11"/>
    <mergeCell ref="AZ41:BA41"/>
    <mergeCell ref="AF41:AG41"/>
    <mergeCell ref="AZ43:BL44"/>
    <mergeCell ref="AB44:AG45"/>
    <mergeCell ref="AN45:AR45"/>
    <mergeCell ref="BP10:BT10"/>
    <mergeCell ref="C8:K8"/>
    <mergeCell ref="R8:S10"/>
    <mergeCell ref="C11:G11"/>
    <mergeCell ref="L11:P11"/>
    <mergeCell ref="H11:I11"/>
    <mergeCell ref="BP11:BT11"/>
    <mergeCell ref="AC2:AO2"/>
    <mergeCell ref="BA2:BM2"/>
    <mergeCell ref="AZ4:BP4"/>
    <mergeCell ref="AJ9:AN9"/>
    <mergeCell ref="AR8:AW8"/>
    <mergeCell ref="AR9:AV9"/>
    <mergeCell ref="AZ9:BD9"/>
    <mergeCell ref="L8:Q8"/>
    <mergeCell ref="AJ10:AN10"/>
    <mergeCell ref="AZ10:BD10"/>
    <mergeCell ref="AB4:AR4"/>
    <mergeCell ref="AB8:AG8"/>
    <mergeCell ref="AJ8:AO8"/>
    <mergeCell ref="C42:D42"/>
    <mergeCell ref="T45:W45"/>
    <mergeCell ref="L10:P10"/>
    <mergeCell ref="H9:I9"/>
    <mergeCell ref="W1:X1"/>
    <mergeCell ref="H10:I10"/>
    <mergeCell ref="C9:G9"/>
    <mergeCell ref="C10:G10"/>
    <mergeCell ref="T8:Y8"/>
    <mergeCell ref="C4:M4"/>
    <mergeCell ref="C44:H45"/>
    <mergeCell ref="L9:P9"/>
    <mergeCell ref="C2:M2"/>
    <mergeCell ref="A38:C38"/>
    <mergeCell ref="BX8:BX12"/>
    <mergeCell ref="T9:X9"/>
    <mergeCell ref="T10:X10"/>
    <mergeCell ref="AB9:AF9"/>
    <mergeCell ref="AB10:AF10"/>
    <mergeCell ref="AR10:AV10"/>
    <mergeCell ref="AB11:AF11"/>
    <mergeCell ref="AJ11:AN11"/>
    <mergeCell ref="Z8:AA11"/>
    <mergeCell ref="AH8:AI11"/>
    <mergeCell ref="AZ8:BE8"/>
    <mergeCell ref="BH9:BL9"/>
    <mergeCell ref="BH10:BL10"/>
    <mergeCell ref="BH8:BM8"/>
    <mergeCell ref="BP8:BU8"/>
    <mergeCell ref="BP9:BT9"/>
  </mergeCells>
  <conditionalFormatting sqref="BX14:BX37">
    <cfRule type="cellIs" dxfId="5" priority="9" stopIfTrue="1" operator="greaterThan">
      <formula>0.3</formula>
    </cfRule>
  </conditionalFormatting>
  <conditionalFormatting sqref="BU14:BW37">
    <cfRule type="cellIs" dxfId="4" priority="8" stopIfTrue="1" operator="equal">
      <formula>0</formula>
    </cfRule>
  </conditionalFormatting>
  <conditionalFormatting sqref="BQ14:BR37">
    <cfRule type="cellIs" dxfId="3" priority="6" stopIfTrue="1" operator="equal">
      <formula>0</formula>
    </cfRule>
  </conditionalFormatting>
  <conditionalFormatting sqref="BI14:BJ37">
    <cfRule type="cellIs" dxfId="2" priority="4" stopIfTrue="1" operator="equal">
      <formula>0</formula>
    </cfRule>
  </conditionalFormatting>
  <conditionalFormatting sqref="BM14:BO37">
    <cfRule type="cellIs" dxfId="1" priority="3" stopIfTrue="1" operator="equal">
      <formula>0</formula>
    </cfRule>
  </conditionalFormatting>
  <conditionalFormatting sqref="Q22:S22 Q26:S26 M22:N22 M26:N26 Y14:AA37 AG14:AI37 AO14:AQ37 AW14:AY37 BE14:BG37 U14:V37 AC14:AD37 AK14:AL37 AS14:AT37 BA14:BB37">
    <cfRule type="cellIs" dxfId="0" priority="2" stopIfTrue="1" operator="equal">
      <formula>0</formula>
    </cfRule>
  </conditionalFormatting>
  <pageMargins left="0.70866141732283472" right="0.39370078740157483" top="0.74803149606299213" bottom="0.3937007874015748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/>
  <dimension ref="A1:Q65"/>
  <sheetViews>
    <sheetView workbookViewId="0">
      <selection activeCell="D28" sqref="D28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5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101</v>
      </c>
      <c r="H1" s="16" t="s">
        <v>102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43">
        <v>1</v>
      </c>
      <c r="B2" s="22" t="s">
        <v>549</v>
      </c>
      <c r="C2" s="40" t="s">
        <v>550</v>
      </c>
      <c r="D2" s="40" t="s">
        <v>507</v>
      </c>
      <c r="E2" s="43" t="s">
        <v>475</v>
      </c>
      <c r="F2" s="40" t="s">
        <v>154</v>
      </c>
      <c r="G2" s="184">
        <v>5</v>
      </c>
      <c r="H2" s="184">
        <v>5</v>
      </c>
      <c r="I2" s="40"/>
      <c r="J2" s="40" t="s">
        <v>127</v>
      </c>
      <c r="K2" s="173">
        <v>48</v>
      </c>
      <c r="L2" s="40">
        <v>70</v>
      </c>
      <c r="M2" s="4">
        <f>K2/L2</f>
        <v>0.68571428571428572</v>
      </c>
      <c r="N2" s="40" t="s">
        <v>49</v>
      </c>
      <c r="O2" s="40" t="s">
        <v>76</v>
      </c>
      <c r="P2" s="40" t="s">
        <v>13</v>
      </c>
      <c r="Q2" s="142"/>
    </row>
    <row r="3" spans="1:17">
      <c r="A3" s="43">
        <v>2</v>
      </c>
      <c r="B3" s="22" t="s">
        <v>551</v>
      </c>
      <c r="C3" s="40" t="s">
        <v>552</v>
      </c>
      <c r="D3" s="40" t="s">
        <v>383</v>
      </c>
      <c r="E3" s="43" t="s">
        <v>475</v>
      </c>
      <c r="F3" s="40" t="s">
        <v>154</v>
      </c>
      <c r="G3" s="184">
        <v>5</v>
      </c>
      <c r="H3" s="184">
        <v>5</v>
      </c>
      <c r="I3" s="40"/>
      <c r="J3" s="40" t="s">
        <v>127</v>
      </c>
      <c r="K3" s="173">
        <v>25</v>
      </c>
      <c r="L3" s="40">
        <v>70</v>
      </c>
      <c r="M3" s="4">
        <f>K3/L3</f>
        <v>0.35714285714285715</v>
      </c>
      <c r="N3" s="40" t="s">
        <v>50</v>
      </c>
      <c r="O3" s="40" t="s">
        <v>76</v>
      </c>
      <c r="P3" s="40" t="s">
        <v>13</v>
      </c>
      <c r="Q3" s="142"/>
    </row>
    <row r="4" spans="1:17">
      <c r="A4" s="43">
        <v>3</v>
      </c>
      <c r="B4" s="22" t="s">
        <v>553</v>
      </c>
      <c r="C4" s="40" t="s">
        <v>183</v>
      </c>
      <c r="D4" s="40" t="s">
        <v>175</v>
      </c>
      <c r="E4" s="43" t="s">
        <v>470</v>
      </c>
      <c r="F4" s="40" t="s">
        <v>154</v>
      </c>
      <c r="G4" s="184">
        <v>5</v>
      </c>
      <c r="H4" s="184">
        <v>5</v>
      </c>
      <c r="I4" s="40"/>
      <c r="J4" s="40" t="s">
        <v>127</v>
      </c>
      <c r="K4" s="173">
        <v>20</v>
      </c>
      <c r="L4" s="40">
        <v>70</v>
      </c>
      <c r="M4" s="4">
        <f t="shared" ref="M4:M22" si="0">K4/L4</f>
        <v>0.2857142857142857</v>
      </c>
      <c r="N4" s="40" t="s">
        <v>58</v>
      </c>
      <c r="O4" s="40" t="s">
        <v>76</v>
      </c>
      <c r="P4" s="40" t="s">
        <v>13</v>
      </c>
      <c r="Q4" s="142"/>
    </row>
    <row r="5" spans="1:17">
      <c r="A5" s="43">
        <v>4</v>
      </c>
      <c r="B5" s="40" t="s">
        <v>554</v>
      </c>
      <c r="C5" s="40" t="s">
        <v>555</v>
      </c>
      <c r="D5" s="40" t="s">
        <v>357</v>
      </c>
      <c r="E5" s="43" t="s">
        <v>475</v>
      </c>
      <c r="F5" s="40" t="s">
        <v>154</v>
      </c>
      <c r="G5" s="184">
        <v>5</v>
      </c>
      <c r="H5" s="184">
        <v>5</v>
      </c>
      <c r="I5" s="40"/>
      <c r="J5" s="40" t="s">
        <v>127</v>
      </c>
      <c r="K5" s="173">
        <v>19</v>
      </c>
      <c r="L5" s="40">
        <v>70</v>
      </c>
      <c r="M5" s="4">
        <f t="shared" si="0"/>
        <v>0.27142857142857141</v>
      </c>
      <c r="N5" s="40" t="s">
        <v>58</v>
      </c>
      <c r="O5" s="40" t="s">
        <v>76</v>
      </c>
      <c r="P5" s="40" t="s">
        <v>13</v>
      </c>
      <c r="Q5" s="142"/>
    </row>
    <row r="6" spans="1:17">
      <c r="A6" s="43">
        <v>5</v>
      </c>
      <c r="B6" s="40" t="s">
        <v>556</v>
      </c>
      <c r="C6" s="40" t="s">
        <v>197</v>
      </c>
      <c r="D6" s="40" t="s">
        <v>198</v>
      </c>
      <c r="E6" s="43" t="s">
        <v>470</v>
      </c>
      <c r="F6" s="40" t="s">
        <v>154</v>
      </c>
      <c r="G6" s="184">
        <v>5</v>
      </c>
      <c r="H6" s="184">
        <v>5</v>
      </c>
      <c r="I6" s="40"/>
      <c r="J6" s="40" t="s">
        <v>127</v>
      </c>
      <c r="K6" s="173">
        <v>19</v>
      </c>
      <c r="L6" s="40">
        <v>70</v>
      </c>
      <c r="M6" s="4">
        <f t="shared" si="0"/>
        <v>0.27142857142857141</v>
      </c>
      <c r="N6" s="40" t="s">
        <v>58</v>
      </c>
      <c r="O6" s="40" t="s">
        <v>76</v>
      </c>
      <c r="P6" s="40" t="s">
        <v>13</v>
      </c>
      <c r="Q6" s="142"/>
    </row>
    <row r="7" spans="1:17">
      <c r="A7" s="43">
        <v>6</v>
      </c>
      <c r="B7" s="22" t="s">
        <v>557</v>
      </c>
      <c r="C7" s="40" t="s">
        <v>177</v>
      </c>
      <c r="D7" s="40" t="s">
        <v>396</v>
      </c>
      <c r="E7" s="43" t="s">
        <v>470</v>
      </c>
      <c r="F7" s="40" t="s">
        <v>154</v>
      </c>
      <c r="G7" s="184">
        <v>5</v>
      </c>
      <c r="H7" s="184">
        <v>5</v>
      </c>
      <c r="I7" s="40"/>
      <c r="J7" s="40" t="s">
        <v>127</v>
      </c>
      <c r="K7" s="173">
        <v>15</v>
      </c>
      <c r="L7" s="40">
        <v>70</v>
      </c>
      <c r="M7" s="4">
        <f t="shared" si="0"/>
        <v>0.21428571428571427</v>
      </c>
      <c r="N7" s="40" t="s">
        <v>58</v>
      </c>
      <c r="O7" s="40" t="s">
        <v>76</v>
      </c>
      <c r="P7" s="40" t="s">
        <v>13</v>
      </c>
      <c r="Q7" s="142"/>
    </row>
    <row r="8" spans="1:17">
      <c r="A8" s="43">
        <v>7</v>
      </c>
      <c r="B8" s="22" t="s">
        <v>354</v>
      </c>
      <c r="C8" s="40" t="s">
        <v>171</v>
      </c>
      <c r="D8" s="40" t="s">
        <v>175</v>
      </c>
      <c r="E8" s="43" t="s">
        <v>470</v>
      </c>
      <c r="F8" s="40" t="s">
        <v>154</v>
      </c>
      <c r="G8" s="184">
        <v>5</v>
      </c>
      <c r="H8" s="184">
        <v>5</v>
      </c>
      <c r="I8" s="40"/>
      <c r="J8" s="40" t="s">
        <v>127</v>
      </c>
      <c r="K8" s="173">
        <v>18</v>
      </c>
      <c r="L8" s="40">
        <v>70</v>
      </c>
      <c r="M8" s="4">
        <f t="shared" si="0"/>
        <v>0.25714285714285712</v>
      </c>
      <c r="N8" s="40" t="s">
        <v>58</v>
      </c>
      <c r="O8" s="40" t="s">
        <v>76</v>
      </c>
      <c r="P8" s="40" t="s">
        <v>13</v>
      </c>
      <c r="Q8" s="142"/>
    </row>
    <row r="9" spans="1:17">
      <c r="A9" s="43">
        <v>8</v>
      </c>
      <c r="B9" s="22" t="s">
        <v>558</v>
      </c>
      <c r="C9" s="40" t="s">
        <v>245</v>
      </c>
      <c r="D9" s="40" t="s">
        <v>334</v>
      </c>
      <c r="E9" s="43" t="s">
        <v>475</v>
      </c>
      <c r="F9" s="40" t="s">
        <v>154</v>
      </c>
      <c r="G9" s="184">
        <v>5</v>
      </c>
      <c r="H9" s="184">
        <v>5</v>
      </c>
      <c r="I9" s="40"/>
      <c r="J9" s="40" t="s">
        <v>127</v>
      </c>
      <c r="K9" s="173">
        <v>14</v>
      </c>
      <c r="L9" s="40">
        <v>70</v>
      </c>
      <c r="M9" s="4">
        <f t="shared" si="0"/>
        <v>0.2</v>
      </c>
      <c r="N9" s="40" t="s">
        <v>58</v>
      </c>
      <c r="O9" s="40" t="s">
        <v>76</v>
      </c>
      <c r="P9" s="40" t="s">
        <v>13</v>
      </c>
      <c r="Q9" s="142"/>
    </row>
    <row r="10" spans="1:17">
      <c r="A10" s="43">
        <v>9</v>
      </c>
      <c r="B10" s="22" t="s">
        <v>179</v>
      </c>
      <c r="C10" s="40" t="s">
        <v>180</v>
      </c>
      <c r="D10" s="40" t="s">
        <v>181</v>
      </c>
      <c r="E10" s="43" t="s">
        <v>475</v>
      </c>
      <c r="F10" s="40" t="s">
        <v>154</v>
      </c>
      <c r="G10" s="184">
        <v>5</v>
      </c>
      <c r="H10" s="184">
        <v>5</v>
      </c>
      <c r="I10" s="40"/>
      <c r="J10" s="40" t="s">
        <v>127</v>
      </c>
      <c r="K10" s="173">
        <v>10</v>
      </c>
      <c r="L10" s="40">
        <v>70</v>
      </c>
      <c r="M10" s="4">
        <f t="shared" si="0"/>
        <v>0.14285714285714285</v>
      </c>
      <c r="N10" s="40" t="s">
        <v>58</v>
      </c>
      <c r="O10" s="40" t="s">
        <v>76</v>
      </c>
      <c r="P10" s="40" t="s">
        <v>13</v>
      </c>
      <c r="Q10" s="142"/>
    </row>
    <row r="11" spans="1:17">
      <c r="A11" s="43">
        <v>10</v>
      </c>
      <c r="B11" s="22" t="s">
        <v>559</v>
      </c>
      <c r="C11" s="40" t="s">
        <v>180</v>
      </c>
      <c r="D11" s="40" t="s">
        <v>216</v>
      </c>
      <c r="E11" s="43" t="s">
        <v>475</v>
      </c>
      <c r="F11" s="40" t="s">
        <v>154</v>
      </c>
      <c r="G11" s="184">
        <v>5</v>
      </c>
      <c r="H11" s="184">
        <v>5</v>
      </c>
      <c r="I11" s="40"/>
      <c r="J11" s="40" t="s">
        <v>127</v>
      </c>
      <c r="K11" s="173">
        <v>7</v>
      </c>
      <c r="L11" s="40">
        <v>70</v>
      </c>
      <c r="M11" s="4">
        <f t="shared" si="0"/>
        <v>0.1</v>
      </c>
      <c r="N11" s="40" t="s">
        <v>58</v>
      </c>
      <c r="O11" s="40" t="s">
        <v>76</v>
      </c>
      <c r="P11" s="40" t="s">
        <v>13</v>
      </c>
      <c r="Q11" s="142"/>
    </row>
    <row r="12" spans="1:17">
      <c r="A12" s="43">
        <v>11</v>
      </c>
      <c r="B12" s="22" t="s">
        <v>560</v>
      </c>
      <c r="C12" s="40" t="s">
        <v>188</v>
      </c>
      <c r="D12" s="40" t="s">
        <v>495</v>
      </c>
      <c r="E12" s="43" t="s">
        <v>475</v>
      </c>
      <c r="F12" s="40" t="s">
        <v>154</v>
      </c>
      <c r="G12" s="184">
        <v>5</v>
      </c>
      <c r="H12" s="184">
        <v>5</v>
      </c>
      <c r="I12" s="40"/>
      <c r="J12" s="40" t="s">
        <v>127</v>
      </c>
      <c r="K12" s="173">
        <v>3</v>
      </c>
      <c r="L12" s="40">
        <v>70</v>
      </c>
      <c r="M12" s="4">
        <f t="shared" si="0"/>
        <v>4.2857142857142858E-2</v>
      </c>
      <c r="N12" s="40" t="s">
        <v>58</v>
      </c>
      <c r="O12" s="40" t="s">
        <v>76</v>
      </c>
      <c r="P12" s="40" t="s">
        <v>13</v>
      </c>
      <c r="Q12" s="142"/>
    </row>
    <row r="13" spans="1:17">
      <c r="A13" s="43">
        <v>12</v>
      </c>
      <c r="B13" s="22" t="s">
        <v>262</v>
      </c>
      <c r="C13" s="40" t="s">
        <v>218</v>
      </c>
      <c r="D13" s="40" t="s">
        <v>213</v>
      </c>
      <c r="E13" s="43" t="s">
        <v>475</v>
      </c>
      <c r="F13" s="40" t="s">
        <v>154</v>
      </c>
      <c r="G13" s="184">
        <v>6</v>
      </c>
      <c r="H13" s="184">
        <v>6</v>
      </c>
      <c r="I13" s="40"/>
      <c r="J13" s="40" t="s">
        <v>127</v>
      </c>
      <c r="K13" s="173">
        <v>44</v>
      </c>
      <c r="L13" s="40">
        <v>70</v>
      </c>
      <c r="M13" s="4">
        <f t="shared" si="0"/>
        <v>0.62857142857142856</v>
      </c>
      <c r="N13" s="40" t="s">
        <v>49</v>
      </c>
      <c r="O13" s="40" t="s">
        <v>76</v>
      </c>
      <c r="P13" s="40" t="s">
        <v>13</v>
      </c>
      <c r="Q13" s="142"/>
    </row>
    <row r="14" spans="1:17">
      <c r="A14" s="43">
        <v>13</v>
      </c>
      <c r="B14" s="22" t="s">
        <v>257</v>
      </c>
      <c r="C14" s="40" t="s">
        <v>200</v>
      </c>
      <c r="D14" s="40" t="s">
        <v>243</v>
      </c>
      <c r="E14" s="43" t="s">
        <v>470</v>
      </c>
      <c r="F14" s="40" t="s">
        <v>154</v>
      </c>
      <c r="G14" s="184">
        <v>6</v>
      </c>
      <c r="H14" s="184">
        <v>6</v>
      </c>
      <c r="I14" s="40"/>
      <c r="J14" s="40" t="s">
        <v>127</v>
      </c>
      <c r="K14" s="173">
        <v>42</v>
      </c>
      <c r="L14" s="40">
        <v>70</v>
      </c>
      <c r="M14" s="4">
        <f t="shared" si="0"/>
        <v>0.6</v>
      </c>
      <c r="N14" s="40" t="s">
        <v>50</v>
      </c>
      <c r="O14" s="40" t="s">
        <v>76</v>
      </c>
      <c r="P14" s="40" t="s">
        <v>13</v>
      </c>
      <c r="Q14" s="142"/>
    </row>
    <row r="15" spans="1:17">
      <c r="A15" s="43">
        <v>14</v>
      </c>
      <c r="B15" s="22" t="s">
        <v>561</v>
      </c>
      <c r="C15" s="40" t="s">
        <v>473</v>
      </c>
      <c r="D15" s="40" t="s">
        <v>308</v>
      </c>
      <c r="E15" s="43" t="s">
        <v>470</v>
      </c>
      <c r="F15" s="40" t="s">
        <v>154</v>
      </c>
      <c r="G15" s="184">
        <v>6</v>
      </c>
      <c r="H15" s="184">
        <v>6</v>
      </c>
      <c r="I15" s="40"/>
      <c r="J15" s="40" t="s">
        <v>127</v>
      </c>
      <c r="K15" s="173">
        <v>32</v>
      </c>
      <c r="L15" s="40">
        <v>70</v>
      </c>
      <c r="M15" s="4">
        <f t="shared" si="0"/>
        <v>0.45714285714285713</v>
      </c>
      <c r="N15" s="40" t="s">
        <v>58</v>
      </c>
      <c r="O15" s="40" t="s">
        <v>76</v>
      </c>
      <c r="P15" s="40" t="s">
        <v>13</v>
      </c>
      <c r="Q15" s="142"/>
    </row>
    <row r="16" spans="1:17">
      <c r="A16" s="43">
        <v>15</v>
      </c>
      <c r="B16" s="22" t="s">
        <v>261</v>
      </c>
      <c r="C16" s="40" t="s">
        <v>260</v>
      </c>
      <c r="D16" s="40" t="s">
        <v>233</v>
      </c>
      <c r="E16" s="43" t="s">
        <v>470</v>
      </c>
      <c r="F16" s="40" t="s">
        <v>154</v>
      </c>
      <c r="G16" s="184">
        <v>6</v>
      </c>
      <c r="H16" s="184">
        <v>6</v>
      </c>
      <c r="I16" s="43"/>
      <c r="J16" s="40" t="s">
        <v>127</v>
      </c>
      <c r="K16" s="217">
        <v>30</v>
      </c>
      <c r="L16" s="40">
        <v>70</v>
      </c>
      <c r="M16" s="4">
        <f t="shared" si="0"/>
        <v>0.42857142857142855</v>
      </c>
      <c r="N16" s="40" t="s">
        <v>58</v>
      </c>
      <c r="O16" s="40" t="s">
        <v>76</v>
      </c>
      <c r="P16" s="40" t="s">
        <v>13</v>
      </c>
      <c r="Q16" s="142"/>
    </row>
    <row r="17" spans="1:17">
      <c r="A17" s="43">
        <v>16</v>
      </c>
      <c r="B17" s="22" t="s">
        <v>288</v>
      </c>
      <c r="C17" s="40" t="s">
        <v>287</v>
      </c>
      <c r="D17" s="40" t="s">
        <v>286</v>
      </c>
      <c r="E17" s="43" t="s">
        <v>475</v>
      </c>
      <c r="F17" s="40" t="s">
        <v>154</v>
      </c>
      <c r="G17" s="184">
        <v>6</v>
      </c>
      <c r="H17" s="184">
        <v>6</v>
      </c>
      <c r="I17" s="40"/>
      <c r="J17" s="40" t="s">
        <v>127</v>
      </c>
      <c r="K17" s="173">
        <v>28</v>
      </c>
      <c r="L17" s="40">
        <v>70</v>
      </c>
      <c r="M17" s="4">
        <f t="shared" si="0"/>
        <v>0.4</v>
      </c>
      <c r="N17" s="40" t="s">
        <v>58</v>
      </c>
      <c r="O17" s="40" t="s">
        <v>76</v>
      </c>
      <c r="P17" s="40" t="s">
        <v>13</v>
      </c>
      <c r="Q17" s="142"/>
    </row>
    <row r="18" spans="1:17">
      <c r="A18" s="43">
        <v>17</v>
      </c>
      <c r="B18" s="22" t="s">
        <v>562</v>
      </c>
      <c r="C18" s="40" t="s">
        <v>200</v>
      </c>
      <c r="D18" s="40" t="s">
        <v>509</v>
      </c>
      <c r="E18" s="43" t="s">
        <v>470</v>
      </c>
      <c r="F18" s="40" t="s">
        <v>154</v>
      </c>
      <c r="G18" s="184">
        <v>6</v>
      </c>
      <c r="H18" s="184">
        <v>6</v>
      </c>
      <c r="I18" s="40"/>
      <c r="J18" s="40" t="s">
        <v>127</v>
      </c>
      <c r="K18" s="173">
        <v>28</v>
      </c>
      <c r="L18" s="40">
        <v>70</v>
      </c>
      <c r="M18" s="4">
        <f t="shared" si="0"/>
        <v>0.4</v>
      </c>
      <c r="N18" s="40" t="s">
        <v>58</v>
      </c>
      <c r="O18" s="40" t="s">
        <v>76</v>
      </c>
      <c r="P18" s="40" t="s">
        <v>13</v>
      </c>
      <c r="Q18" s="142"/>
    </row>
    <row r="19" spans="1:17">
      <c r="A19" s="43">
        <v>18</v>
      </c>
      <c r="B19" s="22" t="s">
        <v>476</v>
      </c>
      <c r="C19" s="40" t="s">
        <v>477</v>
      </c>
      <c r="D19" s="40" t="s">
        <v>235</v>
      </c>
      <c r="E19" s="43" t="s">
        <v>470</v>
      </c>
      <c r="F19" s="40" t="s">
        <v>154</v>
      </c>
      <c r="G19" s="184">
        <v>6</v>
      </c>
      <c r="H19" s="184">
        <v>6</v>
      </c>
      <c r="I19" s="40"/>
      <c r="J19" s="40" t="s">
        <v>127</v>
      </c>
      <c r="K19" s="173">
        <v>20</v>
      </c>
      <c r="L19" s="40">
        <v>70</v>
      </c>
      <c r="M19" s="4">
        <f t="shared" si="0"/>
        <v>0.2857142857142857</v>
      </c>
      <c r="N19" s="40" t="s">
        <v>58</v>
      </c>
      <c r="O19" s="40" t="s">
        <v>76</v>
      </c>
      <c r="P19" s="40" t="s">
        <v>13</v>
      </c>
      <c r="Q19" s="142"/>
    </row>
    <row r="20" spans="1:17">
      <c r="A20" s="43">
        <v>19</v>
      </c>
      <c r="B20" s="22" t="s">
        <v>259</v>
      </c>
      <c r="C20" s="40" t="s">
        <v>258</v>
      </c>
      <c r="D20" s="40" t="s">
        <v>252</v>
      </c>
      <c r="E20" s="43" t="s">
        <v>470</v>
      </c>
      <c r="F20" s="40" t="s">
        <v>154</v>
      </c>
      <c r="G20" s="184">
        <v>6</v>
      </c>
      <c r="H20" s="184">
        <v>6</v>
      </c>
      <c r="I20" s="43"/>
      <c r="J20" s="40" t="s">
        <v>127</v>
      </c>
      <c r="K20" s="217">
        <v>20</v>
      </c>
      <c r="L20" s="40">
        <v>70</v>
      </c>
      <c r="M20" s="4">
        <f t="shared" si="0"/>
        <v>0.2857142857142857</v>
      </c>
      <c r="N20" s="40" t="s">
        <v>58</v>
      </c>
      <c r="O20" s="40" t="s">
        <v>76</v>
      </c>
      <c r="P20" s="40" t="s">
        <v>13</v>
      </c>
      <c r="Q20" s="142"/>
    </row>
    <row r="21" spans="1:17">
      <c r="A21" s="43">
        <v>20</v>
      </c>
      <c r="B21" s="22" t="s">
        <v>415</v>
      </c>
      <c r="C21" s="40" t="s">
        <v>255</v>
      </c>
      <c r="D21" s="40" t="s">
        <v>175</v>
      </c>
      <c r="E21" s="43" t="s">
        <v>470</v>
      </c>
      <c r="F21" s="40" t="s">
        <v>154</v>
      </c>
      <c r="G21" s="184">
        <v>6</v>
      </c>
      <c r="H21" s="184">
        <v>6</v>
      </c>
      <c r="I21" s="43"/>
      <c r="J21" s="40" t="s">
        <v>127</v>
      </c>
      <c r="K21" s="217">
        <v>11</v>
      </c>
      <c r="L21" s="40">
        <v>70</v>
      </c>
      <c r="M21" s="4">
        <f t="shared" si="0"/>
        <v>0.15714285714285714</v>
      </c>
      <c r="N21" s="40" t="s">
        <v>58</v>
      </c>
      <c r="O21" s="40" t="s">
        <v>76</v>
      </c>
      <c r="P21" s="40" t="s">
        <v>13</v>
      </c>
      <c r="Q21" s="142"/>
    </row>
    <row r="22" spans="1:17">
      <c r="A22" s="43">
        <v>21</v>
      </c>
      <c r="B22" s="22" t="s">
        <v>563</v>
      </c>
      <c r="C22" s="40" t="s">
        <v>229</v>
      </c>
      <c r="D22" s="40" t="s">
        <v>564</v>
      </c>
      <c r="E22" s="43" t="s">
        <v>470</v>
      </c>
      <c r="F22" s="40" t="s">
        <v>154</v>
      </c>
      <c r="G22" s="184">
        <v>6</v>
      </c>
      <c r="H22" s="184">
        <v>6</v>
      </c>
      <c r="I22" s="40"/>
      <c r="J22" s="40" t="s">
        <v>127</v>
      </c>
      <c r="K22" s="173">
        <v>5</v>
      </c>
      <c r="L22" s="40">
        <v>70</v>
      </c>
      <c r="M22" s="4">
        <f t="shared" si="0"/>
        <v>7.1428571428571425E-2</v>
      </c>
      <c r="N22" s="40" t="s">
        <v>58</v>
      </c>
      <c r="O22" s="40" t="s">
        <v>76</v>
      </c>
      <c r="P22" s="40" t="s">
        <v>13</v>
      </c>
      <c r="Q22" s="142"/>
    </row>
    <row r="23" spans="1:17">
      <c r="A23" s="43">
        <v>22</v>
      </c>
      <c r="B23" s="22" t="s">
        <v>290</v>
      </c>
      <c r="C23" s="40" t="s">
        <v>289</v>
      </c>
      <c r="D23" s="40" t="s">
        <v>235</v>
      </c>
      <c r="E23" s="43" t="s">
        <v>470</v>
      </c>
      <c r="F23" s="40" t="s">
        <v>154</v>
      </c>
      <c r="G23" s="184">
        <v>7</v>
      </c>
      <c r="H23" s="40">
        <v>7</v>
      </c>
      <c r="I23" s="43"/>
      <c r="J23" s="40" t="s">
        <v>127</v>
      </c>
      <c r="K23" s="217">
        <v>28</v>
      </c>
      <c r="L23" s="40">
        <v>77</v>
      </c>
      <c r="M23" s="4">
        <f t="shared" ref="M23:M54" si="1">K23/L23</f>
        <v>0.36363636363636365</v>
      </c>
      <c r="N23" s="40" t="s">
        <v>58</v>
      </c>
      <c r="O23" s="40" t="s">
        <v>76</v>
      </c>
      <c r="P23" s="40" t="s">
        <v>13</v>
      </c>
      <c r="Q23" s="142"/>
    </row>
    <row r="24" spans="1:17">
      <c r="A24" s="43">
        <v>23</v>
      </c>
      <c r="B24" s="22" t="s">
        <v>565</v>
      </c>
      <c r="C24" s="40" t="s">
        <v>566</v>
      </c>
      <c r="D24" s="40" t="s">
        <v>250</v>
      </c>
      <c r="E24" s="43" t="s">
        <v>470</v>
      </c>
      <c r="F24" s="40" t="s">
        <v>154</v>
      </c>
      <c r="G24" s="184">
        <v>7</v>
      </c>
      <c r="H24" s="40">
        <v>7</v>
      </c>
      <c r="I24" s="43"/>
      <c r="J24" s="40" t="s">
        <v>127</v>
      </c>
      <c r="K24" s="217">
        <v>10</v>
      </c>
      <c r="L24" s="40">
        <v>77</v>
      </c>
      <c r="M24" s="4">
        <f t="shared" si="1"/>
        <v>0.12987012987012986</v>
      </c>
      <c r="N24" s="40" t="s">
        <v>58</v>
      </c>
      <c r="O24" s="40" t="s">
        <v>76</v>
      </c>
      <c r="P24" s="40" t="s">
        <v>13</v>
      </c>
      <c r="Q24" s="142"/>
    </row>
    <row r="25" spans="1:17">
      <c r="A25" s="43">
        <v>24</v>
      </c>
      <c r="B25" s="22" t="s">
        <v>484</v>
      </c>
      <c r="C25" s="40" t="s">
        <v>485</v>
      </c>
      <c r="D25" s="40" t="s">
        <v>235</v>
      </c>
      <c r="E25" s="43" t="s">
        <v>470</v>
      </c>
      <c r="F25" s="40" t="s">
        <v>154</v>
      </c>
      <c r="G25" s="184">
        <v>7</v>
      </c>
      <c r="H25" s="40">
        <v>7</v>
      </c>
      <c r="I25" s="43"/>
      <c r="J25" s="40" t="s">
        <v>127</v>
      </c>
      <c r="K25" s="217">
        <v>8</v>
      </c>
      <c r="L25" s="40">
        <v>77</v>
      </c>
      <c r="M25" s="4">
        <f t="shared" si="1"/>
        <v>0.1038961038961039</v>
      </c>
      <c r="N25" s="40" t="s">
        <v>58</v>
      </c>
      <c r="O25" s="40" t="s">
        <v>76</v>
      </c>
      <c r="P25" s="40" t="s">
        <v>13</v>
      </c>
      <c r="Q25" s="142"/>
    </row>
    <row r="26" spans="1:17">
      <c r="A26" s="43">
        <v>25</v>
      </c>
      <c r="B26" s="22" t="s">
        <v>567</v>
      </c>
      <c r="C26" s="40" t="s">
        <v>171</v>
      </c>
      <c r="D26" s="40" t="s">
        <v>568</v>
      </c>
      <c r="E26" s="43" t="s">
        <v>470</v>
      </c>
      <c r="F26" s="40" t="s">
        <v>154</v>
      </c>
      <c r="G26" s="184">
        <v>7</v>
      </c>
      <c r="H26" s="40">
        <v>7</v>
      </c>
      <c r="I26" s="43"/>
      <c r="J26" s="40" t="s">
        <v>127</v>
      </c>
      <c r="K26" s="217">
        <v>8</v>
      </c>
      <c r="L26" s="40">
        <v>77</v>
      </c>
      <c r="M26" s="4">
        <f t="shared" si="1"/>
        <v>0.1038961038961039</v>
      </c>
      <c r="N26" s="40" t="s">
        <v>58</v>
      </c>
      <c r="O26" s="40" t="s">
        <v>76</v>
      </c>
      <c r="P26" s="40" t="s">
        <v>13</v>
      </c>
      <c r="Q26" s="142"/>
    </row>
    <row r="27" spans="1:17">
      <c r="A27" s="43">
        <v>26</v>
      </c>
      <c r="B27" s="22" t="s">
        <v>318</v>
      </c>
      <c r="C27" s="40" t="s">
        <v>263</v>
      </c>
      <c r="D27" s="40" t="s">
        <v>235</v>
      </c>
      <c r="E27" s="43" t="s">
        <v>470</v>
      </c>
      <c r="F27" s="40" t="s">
        <v>154</v>
      </c>
      <c r="G27" s="184">
        <v>8</v>
      </c>
      <c r="H27" s="40">
        <v>8</v>
      </c>
      <c r="I27" s="43"/>
      <c r="J27" s="40" t="s">
        <v>127</v>
      </c>
      <c r="K27" s="217">
        <v>68</v>
      </c>
      <c r="L27" s="40">
        <v>77</v>
      </c>
      <c r="M27" s="4">
        <f t="shared" si="1"/>
        <v>0.88311688311688308</v>
      </c>
      <c r="N27" s="40" t="s">
        <v>49</v>
      </c>
      <c r="O27" s="40" t="s">
        <v>76</v>
      </c>
      <c r="P27" s="40" t="s">
        <v>13</v>
      </c>
      <c r="Q27" s="142"/>
    </row>
    <row r="28" spans="1:17">
      <c r="A28" s="43">
        <v>27</v>
      </c>
      <c r="B28" s="22" t="s">
        <v>529</v>
      </c>
      <c r="C28" s="40" t="s">
        <v>289</v>
      </c>
      <c r="D28" s="40" t="s">
        <v>235</v>
      </c>
      <c r="E28" s="43" t="s">
        <v>470</v>
      </c>
      <c r="F28" s="40" t="s">
        <v>154</v>
      </c>
      <c r="G28" s="184">
        <v>8</v>
      </c>
      <c r="H28" s="40">
        <v>8</v>
      </c>
      <c r="I28" s="43"/>
      <c r="J28" s="40" t="s">
        <v>127</v>
      </c>
      <c r="K28" s="217">
        <v>53</v>
      </c>
      <c r="L28" s="40">
        <v>77</v>
      </c>
      <c r="M28" s="4">
        <f t="shared" si="1"/>
        <v>0.68831168831168832</v>
      </c>
      <c r="N28" s="40" t="s">
        <v>50</v>
      </c>
      <c r="O28" s="40" t="s">
        <v>76</v>
      </c>
      <c r="P28" s="40" t="s">
        <v>13</v>
      </c>
      <c r="Q28" s="142"/>
    </row>
    <row r="29" spans="1:17">
      <c r="A29" s="43">
        <v>28</v>
      </c>
      <c r="B29" s="22" t="s">
        <v>461</v>
      </c>
      <c r="C29" s="40" t="s">
        <v>569</v>
      </c>
      <c r="D29" s="40" t="s">
        <v>233</v>
      </c>
      <c r="E29" s="43" t="s">
        <v>470</v>
      </c>
      <c r="F29" s="40" t="s">
        <v>154</v>
      </c>
      <c r="G29" s="184">
        <v>8</v>
      </c>
      <c r="H29" s="40">
        <v>8</v>
      </c>
      <c r="I29" s="43"/>
      <c r="J29" s="40" t="s">
        <v>127</v>
      </c>
      <c r="K29" s="217">
        <v>17</v>
      </c>
      <c r="L29" s="40">
        <v>77</v>
      </c>
      <c r="M29" s="4">
        <f t="shared" si="1"/>
        <v>0.22077922077922077</v>
      </c>
      <c r="N29" s="40" t="s">
        <v>58</v>
      </c>
      <c r="O29" s="40" t="s">
        <v>76</v>
      </c>
      <c r="P29" s="40" t="s">
        <v>13</v>
      </c>
      <c r="Q29" s="142"/>
    </row>
    <row r="30" spans="1:17">
      <c r="A30" s="43">
        <v>29</v>
      </c>
      <c r="B30" s="22" t="s">
        <v>317</v>
      </c>
      <c r="C30" s="40" t="s">
        <v>316</v>
      </c>
      <c r="D30" s="40" t="s">
        <v>175</v>
      </c>
      <c r="E30" s="43" t="s">
        <v>470</v>
      </c>
      <c r="F30" s="40" t="s">
        <v>154</v>
      </c>
      <c r="G30" s="184">
        <v>8</v>
      </c>
      <c r="H30" s="40">
        <v>8</v>
      </c>
      <c r="I30" s="43"/>
      <c r="J30" s="40" t="s">
        <v>127</v>
      </c>
      <c r="K30" s="217">
        <v>16</v>
      </c>
      <c r="L30" s="40">
        <v>77</v>
      </c>
      <c r="M30" s="4">
        <f t="shared" si="1"/>
        <v>0.20779220779220781</v>
      </c>
      <c r="N30" s="40" t="s">
        <v>58</v>
      </c>
      <c r="O30" s="40" t="s">
        <v>76</v>
      </c>
      <c r="P30" s="40" t="s">
        <v>13</v>
      </c>
      <c r="Q30" s="142"/>
    </row>
    <row r="31" spans="1:17">
      <c r="A31" s="43">
        <v>30</v>
      </c>
      <c r="B31" s="22" t="s">
        <v>570</v>
      </c>
      <c r="C31" s="40" t="s">
        <v>188</v>
      </c>
      <c r="D31" s="40" t="s">
        <v>357</v>
      </c>
      <c r="E31" s="43" t="s">
        <v>475</v>
      </c>
      <c r="F31" s="40" t="s">
        <v>154</v>
      </c>
      <c r="G31" s="184">
        <v>8</v>
      </c>
      <c r="H31" s="40">
        <v>8</v>
      </c>
      <c r="I31" s="43"/>
      <c r="J31" s="40" t="s">
        <v>127</v>
      </c>
      <c r="K31" s="217">
        <v>14</v>
      </c>
      <c r="L31" s="40">
        <v>77</v>
      </c>
      <c r="M31" s="4">
        <f t="shared" si="1"/>
        <v>0.18181818181818182</v>
      </c>
      <c r="N31" s="40" t="s">
        <v>58</v>
      </c>
      <c r="O31" s="40" t="s">
        <v>76</v>
      </c>
      <c r="P31" s="40" t="s">
        <v>13</v>
      </c>
      <c r="Q31" s="142"/>
    </row>
    <row r="32" spans="1:17">
      <c r="A32" s="43">
        <v>31</v>
      </c>
      <c r="B32" s="22" t="s">
        <v>571</v>
      </c>
      <c r="C32" s="40" t="s">
        <v>572</v>
      </c>
      <c r="D32" s="40" t="s">
        <v>449</v>
      </c>
      <c r="E32" s="43" t="s">
        <v>470</v>
      </c>
      <c r="F32" s="40" t="s">
        <v>154</v>
      </c>
      <c r="G32" s="184">
        <v>8</v>
      </c>
      <c r="H32" s="40">
        <v>8</v>
      </c>
      <c r="I32" s="43"/>
      <c r="J32" s="40" t="s">
        <v>127</v>
      </c>
      <c r="K32" s="217">
        <v>13</v>
      </c>
      <c r="L32" s="40">
        <v>77</v>
      </c>
      <c r="M32" s="4">
        <f t="shared" si="1"/>
        <v>0.16883116883116883</v>
      </c>
      <c r="N32" s="40" t="s">
        <v>58</v>
      </c>
      <c r="O32" s="40" t="s">
        <v>76</v>
      </c>
      <c r="P32" s="40" t="s">
        <v>13</v>
      </c>
      <c r="Q32" s="142"/>
    </row>
    <row r="33" spans="1:17">
      <c r="A33" s="43">
        <v>32</v>
      </c>
      <c r="B33" s="22" t="s">
        <v>375</v>
      </c>
      <c r="C33" s="40" t="s">
        <v>238</v>
      </c>
      <c r="D33" s="40" t="s">
        <v>198</v>
      </c>
      <c r="E33" s="43" t="s">
        <v>470</v>
      </c>
      <c r="F33" s="40" t="s">
        <v>154</v>
      </c>
      <c r="G33" s="184">
        <v>8</v>
      </c>
      <c r="H33" s="40">
        <v>8</v>
      </c>
      <c r="I33" s="43"/>
      <c r="J33" s="40" t="s">
        <v>127</v>
      </c>
      <c r="K33" s="217">
        <v>12</v>
      </c>
      <c r="L33" s="40">
        <v>77</v>
      </c>
      <c r="M33" s="4">
        <f t="shared" si="1"/>
        <v>0.15584415584415584</v>
      </c>
      <c r="N33" s="40" t="s">
        <v>58</v>
      </c>
      <c r="O33" s="40" t="s">
        <v>76</v>
      </c>
      <c r="P33" s="40" t="s">
        <v>13</v>
      </c>
      <c r="Q33" s="142"/>
    </row>
    <row r="34" spans="1:17">
      <c r="A34" s="43">
        <v>33</v>
      </c>
      <c r="B34" s="22" t="s">
        <v>573</v>
      </c>
      <c r="C34" s="40" t="s">
        <v>183</v>
      </c>
      <c r="D34" s="40" t="s">
        <v>574</v>
      </c>
      <c r="E34" s="43" t="s">
        <v>470</v>
      </c>
      <c r="F34" s="40" t="s">
        <v>154</v>
      </c>
      <c r="G34" s="184">
        <v>8</v>
      </c>
      <c r="H34" s="40">
        <v>8</v>
      </c>
      <c r="I34" s="43"/>
      <c r="J34" s="40" t="s">
        <v>127</v>
      </c>
      <c r="K34" s="217">
        <v>12</v>
      </c>
      <c r="L34" s="40">
        <v>77</v>
      </c>
      <c r="M34" s="4">
        <f t="shared" si="1"/>
        <v>0.15584415584415584</v>
      </c>
      <c r="N34" s="40" t="s">
        <v>58</v>
      </c>
      <c r="O34" s="40" t="s">
        <v>76</v>
      </c>
      <c r="P34" s="40" t="s">
        <v>13</v>
      </c>
      <c r="Q34" s="142"/>
    </row>
    <row r="35" spans="1:17">
      <c r="A35" s="43">
        <v>34</v>
      </c>
      <c r="B35" s="22" t="s">
        <v>575</v>
      </c>
      <c r="C35" s="40" t="s">
        <v>576</v>
      </c>
      <c r="D35" s="40" t="s">
        <v>235</v>
      </c>
      <c r="E35" s="43" t="s">
        <v>470</v>
      </c>
      <c r="F35" s="40" t="s">
        <v>154</v>
      </c>
      <c r="G35" s="184">
        <v>8</v>
      </c>
      <c r="H35" s="40">
        <v>8</v>
      </c>
      <c r="I35" s="43"/>
      <c r="J35" s="40" t="s">
        <v>127</v>
      </c>
      <c r="K35" s="217">
        <v>10</v>
      </c>
      <c r="L35" s="40">
        <v>77</v>
      </c>
      <c r="M35" s="4">
        <f t="shared" si="1"/>
        <v>0.12987012987012986</v>
      </c>
      <c r="N35" s="40" t="s">
        <v>58</v>
      </c>
      <c r="O35" s="40" t="s">
        <v>76</v>
      </c>
      <c r="P35" s="40" t="s">
        <v>13</v>
      </c>
      <c r="Q35" s="142"/>
    </row>
    <row r="36" spans="1:17">
      <c r="A36" s="43">
        <v>35</v>
      </c>
      <c r="B36" s="22" t="s">
        <v>506</v>
      </c>
      <c r="C36" s="40" t="s">
        <v>180</v>
      </c>
      <c r="D36" s="40" t="s">
        <v>577</v>
      </c>
      <c r="E36" s="43" t="s">
        <v>475</v>
      </c>
      <c r="F36" s="40" t="s">
        <v>154</v>
      </c>
      <c r="G36" s="184">
        <v>8</v>
      </c>
      <c r="H36" s="40">
        <v>8</v>
      </c>
      <c r="I36" s="43"/>
      <c r="J36" s="40" t="s">
        <v>127</v>
      </c>
      <c r="K36" s="217">
        <v>9</v>
      </c>
      <c r="L36" s="40">
        <v>77</v>
      </c>
      <c r="M36" s="4">
        <f t="shared" si="1"/>
        <v>0.11688311688311688</v>
      </c>
      <c r="N36" s="40" t="s">
        <v>58</v>
      </c>
      <c r="O36" s="40" t="s">
        <v>76</v>
      </c>
      <c r="P36" s="40" t="s">
        <v>13</v>
      </c>
      <c r="Q36" s="142"/>
    </row>
    <row r="37" spans="1:17">
      <c r="A37" s="43">
        <v>36</v>
      </c>
      <c r="B37" s="22" t="s">
        <v>578</v>
      </c>
      <c r="C37" s="40" t="s">
        <v>180</v>
      </c>
      <c r="D37" s="40" t="s">
        <v>216</v>
      </c>
      <c r="E37" s="43" t="s">
        <v>475</v>
      </c>
      <c r="F37" s="40" t="s">
        <v>154</v>
      </c>
      <c r="G37" s="184">
        <v>8</v>
      </c>
      <c r="H37" s="40">
        <v>8</v>
      </c>
      <c r="I37" s="43"/>
      <c r="J37" s="40" t="s">
        <v>127</v>
      </c>
      <c r="K37" s="217">
        <v>8</v>
      </c>
      <c r="L37" s="40">
        <v>77</v>
      </c>
      <c r="M37" s="4">
        <f t="shared" si="1"/>
        <v>0.1038961038961039</v>
      </c>
      <c r="N37" s="40" t="s">
        <v>58</v>
      </c>
      <c r="O37" s="40" t="s">
        <v>76</v>
      </c>
      <c r="P37" s="40" t="s">
        <v>13</v>
      </c>
      <c r="Q37" s="142"/>
    </row>
    <row r="38" spans="1:17">
      <c r="A38" s="43">
        <v>37</v>
      </c>
      <c r="B38" s="22" t="s">
        <v>579</v>
      </c>
      <c r="C38" s="40" t="s">
        <v>188</v>
      </c>
      <c r="D38" s="40" t="s">
        <v>334</v>
      </c>
      <c r="E38" s="43" t="s">
        <v>475</v>
      </c>
      <c r="F38" s="40" t="s">
        <v>154</v>
      </c>
      <c r="G38" s="184">
        <v>8</v>
      </c>
      <c r="H38" s="40">
        <v>8</v>
      </c>
      <c r="I38" s="43"/>
      <c r="J38" s="40" t="s">
        <v>127</v>
      </c>
      <c r="K38" s="217">
        <v>7</v>
      </c>
      <c r="L38" s="40">
        <v>77</v>
      </c>
      <c r="M38" s="4">
        <f t="shared" si="1"/>
        <v>9.0909090909090912E-2</v>
      </c>
      <c r="N38" s="40" t="s">
        <v>58</v>
      </c>
      <c r="O38" s="40" t="s">
        <v>76</v>
      </c>
      <c r="P38" s="40" t="s">
        <v>13</v>
      </c>
      <c r="Q38" s="142"/>
    </row>
    <row r="39" spans="1:17">
      <c r="A39" s="43">
        <v>38</v>
      </c>
      <c r="B39" s="253" t="s">
        <v>239</v>
      </c>
      <c r="C39" s="40" t="s">
        <v>229</v>
      </c>
      <c r="D39" s="40" t="s">
        <v>240</v>
      </c>
      <c r="E39" s="43" t="s">
        <v>470</v>
      </c>
      <c r="F39" s="40" t="s">
        <v>154</v>
      </c>
      <c r="G39" s="184">
        <v>9</v>
      </c>
      <c r="H39" s="40">
        <v>9</v>
      </c>
      <c r="I39" s="43"/>
      <c r="J39" s="40" t="s">
        <v>127</v>
      </c>
      <c r="K39" s="217">
        <v>67</v>
      </c>
      <c r="L39" s="40">
        <v>80</v>
      </c>
      <c r="M39" s="4">
        <f t="shared" si="1"/>
        <v>0.83750000000000002</v>
      </c>
      <c r="N39" s="40" t="s">
        <v>49</v>
      </c>
      <c r="O39" s="40" t="s">
        <v>76</v>
      </c>
      <c r="P39" s="40" t="s">
        <v>13</v>
      </c>
      <c r="Q39" s="142"/>
    </row>
    <row r="40" spans="1:17">
      <c r="A40" s="43">
        <v>39</v>
      </c>
      <c r="B40" s="22" t="s">
        <v>553</v>
      </c>
      <c r="C40" s="40" t="s">
        <v>289</v>
      </c>
      <c r="D40" s="40" t="s">
        <v>198</v>
      </c>
      <c r="E40" s="43" t="s">
        <v>470</v>
      </c>
      <c r="F40" s="40" t="s">
        <v>154</v>
      </c>
      <c r="G40" s="184">
        <v>9</v>
      </c>
      <c r="H40" s="40">
        <v>9</v>
      </c>
      <c r="I40" s="43"/>
      <c r="J40" s="40" t="s">
        <v>127</v>
      </c>
      <c r="K40" s="217">
        <v>64</v>
      </c>
      <c r="L40" s="40">
        <v>80</v>
      </c>
      <c r="M40" s="4">
        <f t="shared" si="1"/>
        <v>0.8</v>
      </c>
      <c r="N40" s="40" t="s">
        <v>50</v>
      </c>
      <c r="O40" s="40" t="s">
        <v>76</v>
      </c>
      <c r="P40" s="40" t="s">
        <v>13</v>
      </c>
      <c r="Q40" s="142"/>
    </row>
    <row r="41" spans="1:17">
      <c r="A41" s="43">
        <v>40</v>
      </c>
      <c r="B41" s="22" t="s">
        <v>453</v>
      </c>
      <c r="C41" s="40" t="s">
        <v>555</v>
      </c>
      <c r="D41" s="40" t="s">
        <v>246</v>
      </c>
      <c r="E41" s="43" t="s">
        <v>475</v>
      </c>
      <c r="F41" s="40" t="s">
        <v>154</v>
      </c>
      <c r="G41" s="184">
        <v>9</v>
      </c>
      <c r="H41" s="40">
        <v>9</v>
      </c>
      <c r="I41" s="43"/>
      <c r="J41" s="40" t="s">
        <v>127</v>
      </c>
      <c r="K41" s="217">
        <v>44</v>
      </c>
      <c r="L41" s="40">
        <v>80</v>
      </c>
      <c r="M41" s="4">
        <f t="shared" si="1"/>
        <v>0.55000000000000004</v>
      </c>
      <c r="N41" s="40" t="s">
        <v>58</v>
      </c>
      <c r="O41" s="40" t="s">
        <v>76</v>
      </c>
      <c r="P41" s="40" t="s">
        <v>13</v>
      </c>
      <c r="Q41" s="142"/>
    </row>
    <row r="42" spans="1:17">
      <c r="A42" s="43">
        <v>41</v>
      </c>
      <c r="B42" s="22" t="s">
        <v>244</v>
      </c>
      <c r="C42" s="40" t="s">
        <v>245</v>
      </c>
      <c r="D42" s="40" t="s">
        <v>246</v>
      </c>
      <c r="E42" s="43" t="s">
        <v>475</v>
      </c>
      <c r="F42" s="40" t="s">
        <v>154</v>
      </c>
      <c r="G42" s="184">
        <v>9</v>
      </c>
      <c r="H42" s="40">
        <v>9</v>
      </c>
      <c r="I42" s="43"/>
      <c r="J42" s="40" t="s">
        <v>127</v>
      </c>
      <c r="K42" s="217">
        <v>41</v>
      </c>
      <c r="L42" s="40">
        <v>80</v>
      </c>
      <c r="M42" s="4">
        <f t="shared" si="1"/>
        <v>0.51249999999999996</v>
      </c>
      <c r="N42" s="40" t="s">
        <v>58</v>
      </c>
      <c r="O42" s="40" t="s">
        <v>76</v>
      </c>
      <c r="P42" s="40" t="s">
        <v>13</v>
      </c>
      <c r="Q42" s="142"/>
    </row>
    <row r="43" spans="1:17">
      <c r="A43" s="43">
        <v>42</v>
      </c>
      <c r="B43" s="22" t="s">
        <v>230</v>
      </c>
      <c r="C43" s="40" t="s">
        <v>580</v>
      </c>
      <c r="D43" s="40" t="s">
        <v>210</v>
      </c>
      <c r="E43" s="43" t="s">
        <v>470</v>
      </c>
      <c r="F43" s="40" t="s">
        <v>154</v>
      </c>
      <c r="G43" s="184">
        <v>9</v>
      </c>
      <c r="H43" s="40">
        <v>9</v>
      </c>
      <c r="I43" s="43"/>
      <c r="J43" s="40" t="s">
        <v>127</v>
      </c>
      <c r="K43" s="217">
        <v>37</v>
      </c>
      <c r="L43" s="40">
        <v>80</v>
      </c>
      <c r="M43" s="4">
        <f t="shared" si="1"/>
        <v>0.46250000000000002</v>
      </c>
      <c r="N43" s="40" t="s">
        <v>58</v>
      </c>
      <c r="O43" s="40" t="s">
        <v>76</v>
      </c>
      <c r="P43" s="40" t="s">
        <v>13</v>
      </c>
      <c r="Q43" s="142"/>
    </row>
    <row r="44" spans="1:17">
      <c r="A44" s="43">
        <v>43</v>
      </c>
      <c r="B44" s="22" t="s">
        <v>345</v>
      </c>
      <c r="C44" s="40" t="s">
        <v>581</v>
      </c>
      <c r="D44" s="40" t="s">
        <v>347</v>
      </c>
      <c r="E44" s="43" t="s">
        <v>470</v>
      </c>
      <c r="F44" s="40" t="s">
        <v>154</v>
      </c>
      <c r="G44" s="184">
        <v>9</v>
      </c>
      <c r="H44" s="40">
        <v>9</v>
      </c>
      <c r="I44" s="43"/>
      <c r="J44" s="40" t="s">
        <v>127</v>
      </c>
      <c r="K44" s="217">
        <v>35</v>
      </c>
      <c r="L44" s="40">
        <v>80</v>
      </c>
      <c r="M44" s="4">
        <f t="shared" si="1"/>
        <v>0.4375</v>
      </c>
      <c r="N44" s="40" t="s">
        <v>58</v>
      </c>
      <c r="O44" s="40" t="s">
        <v>76</v>
      </c>
      <c r="P44" s="40" t="s">
        <v>13</v>
      </c>
      <c r="Q44" s="142"/>
    </row>
    <row r="45" spans="1:17">
      <c r="A45" s="43">
        <v>44</v>
      </c>
      <c r="B45" s="22" t="s">
        <v>222</v>
      </c>
      <c r="C45" s="40" t="s">
        <v>582</v>
      </c>
      <c r="D45" s="40" t="s">
        <v>223</v>
      </c>
      <c r="E45" s="43" t="s">
        <v>470</v>
      </c>
      <c r="F45" s="40" t="s">
        <v>154</v>
      </c>
      <c r="G45" s="184">
        <v>9</v>
      </c>
      <c r="H45" s="40">
        <v>9</v>
      </c>
      <c r="I45" s="43"/>
      <c r="J45" s="40" t="s">
        <v>127</v>
      </c>
      <c r="K45" s="217">
        <v>34</v>
      </c>
      <c r="L45" s="40">
        <v>80</v>
      </c>
      <c r="M45" s="4">
        <f t="shared" si="1"/>
        <v>0.42499999999999999</v>
      </c>
      <c r="N45" s="40" t="s">
        <v>58</v>
      </c>
      <c r="O45" s="40" t="s">
        <v>76</v>
      </c>
      <c r="P45" s="40" t="s">
        <v>13</v>
      </c>
      <c r="Q45" s="142"/>
    </row>
    <row r="46" spans="1:17">
      <c r="A46" s="43">
        <v>45</v>
      </c>
      <c r="B46" s="22" t="s">
        <v>247</v>
      </c>
      <c r="C46" s="40" t="s">
        <v>314</v>
      </c>
      <c r="D46" s="40" t="s">
        <v>198</v>
      </c>
      <c r="E46" s="43" t="s">
        <v>470</v>
      </c>
      <c r="F46" s="40" t="s">
        <v>154</v>
      </c>
      <c r="G46" s="184">
        <v>9</v>
      </c>
      <c r="H46" s="40">
        <v>9</v>
      </c>
      <c r="I46" s="43"/>
      <c r="J46" s="40" t="s">
        <v>127</v>
      </c>
      <c r="K46" s="217">
        <v>34</v>
      </c>
      <c r="L46" s="40">
        <v>80</v>
      </c>
      <c r="M46" s="4">
        <f t="shared" si="1"/>
        <v>0.42499999999999999</v>
      </c>
      <c r="N46" s="40" t="s">
        <v>58</v>
      </c>
      <c r="O46" s="40" t="s">
        <v>76</v>
      </c>
      <c r="P46" s="40" t="s">
        <v>13</v>
      </c>
      <c r="Q46" s="142"/>
    </row>
    <row r="47" spans="1:17">
      <c r="A47" s="40">
        <v>46</v>
      </c>
      <c r="B47" s="254" t="s">
        <v>336</v>
      </c>
      <c r="C47" s="254" t="s">
        <v>583</v>
      </c>
      <c r="D47" s="254" t="s">
        <v>338</v>
      </c>
      <c r="E47" s="43" t="s">
        <v>470</v>
      </c>
      <c r="F47" s="40" t="s">
        <v>154</v>
      </c>
      <c r="G47" s="184">
        <v>9</v>
      </c>
      <c r="H47" s="40">
        <v>9</v>
      </c>
      <c r="I47" s="43"/>
      <c r="J47" s="40" t="s">
        <v>127</v>
      </c>
      <c r="K47" s="217">
        <v>32</v>
      </c>
      <c r="L47" s="40">
        <v>80</v>
      </c>
      <c r="M47" s="4">
        <f t="shared" si="1"/>
        <v>0.4</v>
      </c>
      <c r="N47" s="40" t="s">
        <v>58</v>
      </c>
      <c r="O47" s="40" t="s">
        <v>76</v>
      </c>
      <c r="P47" s="40" t="s">
        <v>13</v>
      </c>
      <c r="Q47" s="142"/>
    </row>
    <row r="48" spans="1:17">
      <c r="A48" s="43">
        <v>47</v>
      </c>
      <c r="B48" s="22" t="s">
        <v>236</v>
      </c>
      <c r="C48" s="40" t="s">
        <v>237</v>
      </c>
      <c r="D48" s="40" t="s">
        <v>233</v>
      </c>
      <c r="E48" s="43" t="s">
        <v>470</v>
      </c>
      <c r="F48" s="40" t="s">
        <v>154</v>
      </c>
      <c r="G48" s="184">
        <v>9</v>
      </c>
      <c r="H48" s="40">
        <v>9</v>
      </c>
      <c r="I48" s="43"/>
      <c r="J48" s="40" t="s">
        <v>127</v>
      </c>
      <c r="K48" s="217">
        <v>30</v>
      </c>
      <c r="L48" s="40">
        <v>80</v>
      </c>
      <c r="M48" s="4">
        <f t="shared" si="1"/>
        <v>0.375</v>
      </c>
      <c r="N48" s="40" t="s">
        <v>58</v>
      </c>
      <c r="O48" s="40" t="s">
        <v>76</v>
      </c>
      <c r="P48" s="40" t="s">
        <v>13</v>
      </c>
      <c r="Q48" s="142"/>
    </row>
    <row r="49" spans="1:17">
      <c r="A49" s="43">
        <v>48</v>
      </c>
      <c r="B49" s="22" t="s">
        <v>517</v>
      </c>
      <c r="C49" s="40" t="s">
        <v>200</v>
      </c>
      <c r="D49" s="40" t="s">
        <v>210</v>
      </c>
      <c r="E49" s="43" t="s">
        <v>470</v>
      </c>
      <c r="F49" s="40" t="s">
        <v>154</v>
      </c>
      <c r="G49" s="184">
        <v>9</v>
      </c>
      <c r="H49" s="40">
        <v>9</v>
      </c>
      <c r="I49" s="43"/>
      <c r="J49" s="40" t="s">
        <v>127</v>
      </c>
      <c r="K49" s="217">
        <v>29</v>
      </c>
      <c r="L49" s="40">
        <v>80</v>
      </c>
      <c r="M49" s="4">
        <f t="shared" si="1"/>
        <v>0.36249999999999999</v>
      </c>
      <c r="N49" s="40" t="s">
        <v>58</v>
      </c>
      <c r="O49" s="40" t="s">
        <v>76</v>
      </c>
      <c r="P49" s="40" t="s">
        <v>13</v>
      </c>
      <c r="Q49" s="142"/>
    </row>
    <row r="50" spans="1:17">
      <c r="A50" s="43">
        <v>49</v>
      </c>
      <c r="B50" s="22" t="s">
        <v>454</v>
      </c>
      <c r="C50" s="40" t="s">
        <v>320</v>
      </c>
      <c r="D50" s="40" t="s">
        <v>584</v>
      </c>
      <c r="E50" s="43" t="s">
        <v>475</v>
      </c>
      <c r="F50" s="40" t="s">
        <v>154</v>
      </c>
      <c r="G50" s="184">
        <v>9</v>
      </c>
      <c r="H50" s="40">
        <v>9</v>
      </c>
      <c r="I50" s="43"/>
      <c r="J50" s="40" t="s">
        <v>127</v>
      </c>
      <c r="K50" s="217">
        <v>28</v>
      </c>
      <c r="L50" s="40">
        <v>80</v>
      </c>
      <c r="M50" s="4">
        <f t="shared" si="1"/>
        <v>0.35</v>
      </c>
      <c r="N50" s="40" t="s">
        <v>58</v>
      </c>
      <c r="O50" s="40" t="s">
        <v>76</v>
      </c>
      <c r="P50" s="40" t="s">
        <v>13</v>
      </c>
      <c r="Q50" s="142"/>
    </row>
    <row r="51" spans="1:17">
      <c r="A51" s="43">
        <v>50</v>
      </c>
      <c r="B51" s="22" t="s">
        <v>520</v>
      </c>
      <c r="C51" s="40" t="s">
        <v>367</v>
      </c>
      <c r="D51" s="40" t="s">
        <v>357</v>
      </c>
      <c r="E51" s="43" t="s">
        <v>475</v>
      </c>
      <c r="F51" s="40" t="s">
        <v>154</v>
      </c>
      <c r="G51" s="184">
        <v>10</v>
      </c>
      <c r="H51" s="40">
        <v>10</v>
      </c>
      <c r="I51" s="43"/>
      <c r="J51" s="40" t="s">
        <v>127</v>
      </c>
      <c r="K51" s="217">
        <v>76</v>
      </c>
      <c r="L51" s="40">
        <v>80</v>
      </c>
      <c r="M51" s="4">
        <f t="shared" si="1"/>
        <v>0.95</v>
      </c>
      <c r="N51" s="40" t="s">
        <v>49</v>
      </c>
      <c r="O51" s="40" t="s">
        <v>76</v>
      </c>
      <c r="P51" s="40" t="s">
        <v>13</v>
      </c>
      <c r="Q51" s="142"/>
    </row>
    <row r="52" spans="1:17">
      <c r="A52" s="43">
        <v>51</v>
      </c>
      <c r="B52" s="22" t="s">
        <v>532</v>
      </c>
      <c r="C52" s="40" t="s">
        <v>329</v>
      </c>
      <c r="D52" s="40" t="s">
        <v>328</v>
      </c>
      <c r="E52" s="43" t="s">
        <v>475</v>
      </c>
      <c r="F52" s="40" t="s">
        <v>154</v>
      </c>
      <c r="G52" s="184">
        <v>10</v>
      </c>
      <c r="H52" s="40">
        <v>10</v>
      </c>
      <c r="I52" s="43"/>
      <c r="J52" s="40" t="s">
        <v>127</v>
      </c>
      <c r="K52" s="217">
        <v>41</v>
      </c>
      <c r="L52" s="40">
        <v>80</v>
      </c>
      <c r="M52" s="4">
        <f t="shared" si="1"/>
        <v>0.51249999999999996</v>
      </c>
      <c r="N52" s="40" t="s">
        <v>50</v>
      </c>
      <c r="O52" s="40" t="s">
        <v>76</v>
      </c>
      <c r="P52" s="40" t="s">
        <v>13</v>
      </c>
      <c r="Q52" s="142"/>
    </row>
    <row r="53" spans="1:17">
      <c r="A53" s="43">
        <v>52</v>
      </c>
      <c r="B53" s="22" t="s">
        <v>324</v>
      </c>
      <c r="C53" s="40" t="s">
        <v>323</v>
      </c>
      <c r="D53" s="40" t="s">
        <v>223</v>
      </c>
      <c r="E53" s="43" t="s">
        <v>470</v>
      </c>
      <c r="F53" s="40" t="s">
        <v>154</v>
      </c>
      <c r="G53" s="184">
        <v>10</v>
      </c>
      <c r="H53" s="40">
        <v>10</v>
      </c>
      <c r="I53" s="43"/>
      <c r="J53" s="40" t="s">
        <v>127</v>
      </c>
      <c r="K53" s="217">
        <v>38</v>
      </c>
      <c r="L53" s="40">
        <v>80</v>
      </c>
      <c r="M53" s="4">
        <f t="shared" si="1"/>
        <v>0.47499999999999998</v>
      </c>
      <c r="N53" s="40" t="s">
        <v>58</v>
      </c>
      <c r="O53" s="40" t="s">
        <v>76</v>
      </c>
      <c r="P53" s="40" t="s">
        <v>13</v>
      </c>
      <c r="Q53" s="142"/>
    </row>
    <row r="54" spans="1:17">
      <c r="A54" s="43">
        <v>53</v>
      </c>
      <c r="B54" s="22" t="s">
        <v>349</v>
      </c>
      <c r="C54" s="40" t="s">
        <v>272</v>
      </c>
      <c r="D54" s="40" t="s">
        <v>216</v>
      </c>
      <c r="E54" s="43" t="s">
        <v>475</v>
      </c>
      <c r="F54" s="40" t="s">
        <v>154</v>
      </c>
      <c r="G54" s="184">
        <v>10</v>
      </c>
      <c r="H54" s="40">
        <v>10</v>
      </c>
      <c r="I54" s="43"/>
      <c r="J54" s="40" t="s">
        <v>127</v>
      </c>
      <c r="K54" s="217">
        <v>38</v>
      </c>
      <c r="L54" s="40">
        <v>80</v>
      </c>
      <c r="M54" s="4">
        <f t="shared" si="1"/>
        <v>0.47499999999999998</v>
      </c>
      <c r="N54" s="40" t="s">
        <v>58</v>
      </c>
      <c r="O54" s="40" t="s">
        <v>76</v>
      </c>
      <c r="P54" s="40" t="s">
        <v>13</v>
      </c>
      <c r="Q54" s="142"/>
    </row>
    <row r="55" spans="1:17">
      <c r="A55" s="43">
        <v>54</v>
      </c>
      <c r="B55" s="22" t="s">
        <v>417</v>
      </c>
      <c r="C55" s="40" t="s">
        <v>380</v>
      </c>
      <c r="D55" s="40" t="s">
        <v>418</v>
      </c>
      <c r="E55" s="43" t="s">
        <v>470</v>
      </c>
      <c r="F55" s="40" t="s">
        <v>154</v>
      </c>
      <c r="G55" s="184">
        <v>10</v>
      </c>
      <c r="H55" s="40">
        <v>10</v>
      </c>
      <c r="I55" s="43"/>
      <c r="J55" s="40" t="s">
        <v>127</v>
      </c>
      <c r="K55" s="217">
        <v>25</v>
      </c>
      <c r="L55" s="40">
        <v>80</v>
      </c>
      <c r="M55" s="4">
        <f t="shared" ref="M55:M60" si="2">K55/L55</f>
        <v>0.3125</v>
      </c>
      <c r="N55" s="40" t="s">
        <v>58</v>
      </c>
      <c r="O55" s="40" t="s">
        <v>76</v>
      </c>
      <c r="P55" s="40" t="s">
        <v>13</v>
      </c>
      <c r="Q55" s="142"/>
    </row>
    <row r="56" spans="1:17">
      <c r="A56" s="43">
        <v>55</v>
      </c>
      <c r="B56" s="22" t="s">
        <v>585</v>
      </c>
      <c r="C56" s="40" t="s">
        <v>171</v>
      </c>
      <c r="D56" s="40" t="s">
        <v>233</v>
      </c>
      <c r="E56" s="43" t="s">
        <v>470</v>
      </c>
      <c r="F56" s="40" t="s">
        <v>154</v>
      </c>
      <c r="G56" s="184">
        <v>10</v>
      </c>
      <c r="H56" s="40">
        <v>10</v>
      </c>
      <c r="I56" s="43"/>
      <c r="J56" s="40" t="s">
        <v>127</v>
      </c>
      <c r="K56" s="217">
        <v>25</v>
      </c>
      <c r="L56" s="40">
        <v>80</v>
      </c>
      <c r="M56" s="4">
        <f t="shared" si="2"/>
        <v>0.3125</v>
      </c>
      <c r="N56" s="40" t="s">
        <v>58</v>
      </c>
      <c r="O56" s="40" t="s">
        <v>76</v>
      </c>
      <c r="P56" s="40" t="s">
        <v>13</v>
      </c>
      <c r="Q56" s="142"/>
    </row>
    <row r="57" spans="1:17">
      <c r="A57" s="43">
        <v>56</v>
      </c>
      <c r="B57" s="22" t="s">
        <v>586</v>
      </c>
      <c r="C57" s="40" t="s">
        <v>425</v>
      </c>
      <c r="D57" s="40" t="s">
        <v>426</v>
      </c>
      <c r="E57" s="43" t="s">
        <v>470</v>
      </c>
      <c r="F57" s="40" t="s">
        <v>154</v>
      </c>
      <c r="G57" s="184">
        <v>10</v>
      </c>
      <c r="H57" s="40">
        <v>10</v>
      </c>
      <c r="I57" s="43"/>
      <c r="J57" s="40" t="s">
        <v>127</v>
      </c>
      <c r="K57" s="217">
        <v>17</v>
      </c>
      <c r="L57" s="40">
        <v>80</v>
      </c>
      <c r="M57" s="4">
        <f t="shared" si="2"/>
        <v>0.21249999999999999</v>
      </c>
      <c r="N57" s="40" t="s">
        <v>58</v>
      </c>
      <c r="O57" s="40" t="s">
        <v>76</v>
      </c>
      <c r="P57" s="40" t="s">
        <v>13</v>
      </c>
      <c r="Q57" s="142"/>
    </row>
    <row r="58" spans="1:17">
      <c r="A58" s="43">
        <v>57</v>
      </c>
      <c r="B58" s="22" t="s">
        <v>587</v>
      </c>
      <c r="C58" s="40" t="s">
        <v>382</v>
      </c>
      <c r="D58" s="40" t="s">
        <v>588</v>
      </c>
      <c r="E58" s="43" t="s">
        <v>475</v>
      </c>
      <c r="F58" s="40" t="s">
        <v>154</v>
      </c>
      <c r="G58" s="184">
        <v>11</v>
      </c>
      <c r="H58" s="40">
        <v>11</v>
      </c>
      <c r="I58" s="43"/>
      <c r="J58" s="40" t="s">
        <v>127</v>
      </c>
      <c r="K58" s="217">
        <v>78</v>
      </c>
      <c r="L58" s="40">
        <v>80</v>
      </c>
      <c r="M58" s="4">
        <f t="shared" si="2"/>
        <v>0.97499999999999998</v>
      </c>
      <c r="N58" s="40" t="s">
        <v>49</v>
      </c>
      <c r="O58" s="40" t="s">
        <v>76</v>
      </c>
      <c r="P58" s="40" t="s">
        <v>13</v>
      </c>
      <c r="Q58" s="142"/>
    </row>
    <row r="59" spans="1:17">
      <c r="A59" s="43">
        <v>58</v>
      </c>
      <c r="B59" s="22" t="s">
        <v>275</v>
      </c>
      <c r="C59" s="40" t="s">
        <v>215</v>
      </c>
      <c r="D59" s="40" t="s">
        <v>216</v>
      </c>
      <c r="E59" s="43" t="s">
        <v>475</v>
      </c>
      <c r="F59" s="40" t="s">
        <v>154</v>
      </c>
      <c r="G59" s="184">
        <v>11</v>
      </c>
      <c r="H59" s="40">
        <v>11</v>
      </c>
      <c r="I59" s="43"/>
      <c r="J59" s="40" t="s">
        <v>127</v>
      </c>
      <c r="K59" s="217">
        <v>77</v>
      </c>
      <c r="L59" s="40">
        <v>80</v>
      </c>
      <c r="M59" s="4">
        <f t="shared" si="2"/>
        <v>0.96250000000000002</v>
      </c>
      <c r="N59" s="40" t="s">
        <v>50</v>
      </c>
      <c r="O59" s="40" t="s">
        <v>76</v>
      </c>
      <c r="P59" s="40" t="s">
        <v>13</v>
      </c>
      <c r="Q59" s="142"/>
    </row>
    <row r="60" spans="1:17">
      <c r="A60" s="43">
        <v>59</v>
      </c>
      <c r="B60" s="22" t="s">
        <v>179</v>
      </c>
      <c r="C60" s="40" t="s">
        <v>274</v>
      </c>
      <c r="D60" s="40" t="s">
        <v>181</v>
      </c>
      <c r="E60" s="43" t="s">
        <v>475</v>
      </c>
      <c r="F60" s="40" t="s">
        <v>154</v>
      </c>
      <c r="G60" s="184">
        <v>11</v>
      </c>
      <c r="H60" s="40">
        <v>11</v>
      </c>
      <c r="I60" s="43"/>
      <c r="J60" s="40" t="s">
        <v>127</v>
      </c>
      <c r="K60" s="217">
        <v>60</v>
      </c>
      <c r="L60" s="40">
        <v>80</v>
      </c>
      <c r="M60" s="4">
        <f t="shared" si="2"/>
        <v>0.75</v>
      </c>
      <c r="N60" s="40" t="s">
        <v>58</v>
      </c>
      <c r="O60" s="40" t="s">
        <v>76</v>
      </c>
      <c r="P60" s="40" t="s">
        <v>13</v>
      </c>
      <c r="Q60" s="142"/>
    </row>
    <row r="61" spans="1:17">
      <c r="A61" s="40">
        <v>60</v>
      </c>
      <c r="B61" s="22" t="s">
        <v>589</v>
      </c>
      <c r="C61" s="22" t="s">
        <v>289</v>
      </c>
      <c r="D61" s="22" t="s">
        <v>590</v>
      </c>
      <c r="E61" s="43" t="s">
        <v>100</v>
      </c>
      <c r="F61" s="40" t="s">
        <v>154</v>
      </c>
      <c r="G61" s="184">
        <v>11</v>
      </c>
      <c r="H61" s="40">
        <v>11</v>
      </c>
      <c r="I61" s="43"/>
      <c r="J61" s="40" t="s">
        <v>127</v>
      </c>
      <c r="K61" s="217">
        <v>45</v>
      </c>
      <c r="L61" s="40">
        <v>80</v>
      </c>
      <c r="M61" s="4">
        <f t="shared" ref="M61:M65" si="3">K61/L61</f>
        <v>0.5625</v>
      </c>
      <c r="N61" s="40" t="s">
        <v>58</v>
      </c>
      <c r="O61" s="40" t="s">
        <v>76</v>
      </c>
      <c r="P61" s="40" t="s">
        <v>13</v>
      </c>
      <c r="Q61" s="142"/>
    </row>
    <row r="62" spans="1:17">
      <c r="A62" s="40">
        <v>61</v>
      </c>
      <c r="B62" s="22" t="s">
        <v>539</v>
      </c>
      <c r="C62" s="22" t="s">
        <v>188</v>
      </c>
      <c r="D62" s="22" t="s">
        <v>357</v>
      </c>
      <c r="E62" s="43" t="s">
        <v>99</v>
      </c>
      <c r="F62" s="40" t="s">
        <v>154</v>
      </c>
      <c r="G62" s="184">
        <v>11</v>
      </c>
      <c r="H62" s="40">
        <v>11</v>
      </c>
      <c r="I62" s="43"/>
      <c r="J62" s="40" t="s">
        <v>127</v>
      </c>
      <c r="K62" s="217">
        <v>41</v>
      </c>
      <c r="L62" s="40">
        <v>80</v>
      </c>
      <c r="M62" s="4">
        <f t="shared" si="3"/>
        <v>0.51249999999999996</v>
      </c>
      <c r="N62" s="40" t="s">
        <v>58</v>
      </c>
      <c r="O62" s="40" t="s">
        <v>76</v>
      </c>
      <c r="P62" s="40" t="s">
        <v>13</v>
      </c>
      <c r="Q62" s="142"/>
    </row>
    <row r="63" spans="1:17">
      <c r="A63" s="40">
        <v>62</v>
      </c>
      <c r="B63" s="22" t="s">
        <v>172</v>
      </c>
      <c r="C63" s="22" t="s">
        <v>173</v>
      </c>
      <c r="D63" s="22" t="s">
        <v>174</v>
      </c>
      <c r="E63" s="43" t="s">
        <v>100</v>
      </c>
      <c r="F63" s="40" t="s">
        <v>154</v>
      </c>
      <c r="G63" s="184">
        <v>11</v>
      </c>
      <c r="H63" s="40">
        <v>11</v>
      </c>
      <c r="I63" s="43"/>
      <c r="J63" s="40" t="s">
        <v>127</v>
      </c>
      <c r="K63" s="217">
        <v>37</v>
      </c>
      <c r="L63" s="40">
        <v>80</v>
      </c>
      <c r="M63" s="4">
        <f t="shared" si="3"/>
        <v>0.46250000000000002</v>
      </c>
      <c r="N63" s="40" t="s">
        <v>58</v>
      </c>
      <c r="O63" s="40" t="s">
        <v>76</v>
      </c>
      <c r="P63" s="40" t="s">
        <v>13</v>
      </c>
      <c r="Q63" s="142"/>
    </row>
    <row r="64" spans="1:17">
      <c r="A64" s="40">
        <v>63</v>
      </c>
      <c r="B64" s="22" t="s">
        <v>591</v>
      </c>
      <c r="C64" s="22" t="s">
        <v>294</v>
      </c>
      <c r="D64" s="22" t="s">
        <v>250</v>
      </c>
      <c r="E64" s="43" t="s">
        <v>100</v>
      </c>
      <c r="F64" s="40" t="s">
        <v>154</v>
      </c>
      <c r="G64" s="184">
        <v>11</v>
      </c>
      <c r="H64" s="40">
        <v>11</v>
      </c>
      <c r="I64" s="43"/>
      <c r="J64" s="40" t="s">
        <v>127</v>
      </c>
      <c r="K64" s="217">
        <v>32</v>
      </c>
      <c r="L64" s="40">
        <v>80</v>
      </c>
      <c r="M64" s="4">
        <f t="shared" si="3"/>
        <v>0.4</v>
      </c>
      <c r="N64" s="40" t="s">
        <v>58</v>
      </c>
      <c r="O64" s="40" t="s">
        <v>76</v>
      </c>
      <c r="P64" s="40" t="s">
        <v>13</v>
      </c>
      <c r="Q64" s="142"/>
    </row>
    <row r="65" spans="1:17">
      <c r="A65" s="40">
        <v>64</v>
      </c>
      <c r="B65" s="22" t="s">
        <v>592</v>
      </c>
      <c r="C65" s="22" t="s">
        <v>237</v>
      </c>
      <c r="D65" s="22" t="s">
        <v>519</v>
      </c>
      <c r="E65" s="43" t="s">
        <v>100</v>
      </c>
      <c r="F65" s="40" t="s">
        <v>154</v>
      </c>
      <c r="G65" s="184">
        <v>11</v>
      </c>
      <c r="H65" s="40">
        <v>11</v>
      </c>
      <c r="I65" s="43"/>
      <c r="J65" s="40" t="s">
        <v>127</v>
      </c>
      <c r="K65" s="217">
        <v>29</v>
      </c>
      <c r="L65" s="40">
        <v>80</v>
      </c>
      <c r="M65" s="4">
        <f t="shared" si="3"/>
        <v>0.36249999999999999</v>
      </c>
      <c r="N65" s="40" t="s">
        <v>58</v>
      </c>
      <c r="O65" s="40" t="s">
        <v>76</v>
      </c>
      <c r="P65" s="40" t="s">
        <v>13</v>
      </c>
      <c r="Q65" s="142"/>
    </row>
  </sheetData>
  <sheetProtection formatCells="0" formatColumns="0" formatRows="0" insertHyperlinks="0" sort="0" autoFilter="0" pivotTables="0"/>
  <autoFilter ref="A1:Q1"/>
  <dataValidations count="6">
    <dataValidation type="list" allowBlank="1" showInputMessage="1" showErrorMessage="1" sqref="N2:N65">
      <formula1>Статус</formula1>
    </dataValidation>
    <dataValidation type="list" allowBlank="1" showInputMessage="1" showErrorMessage="1" sqref="E2:E65">
      <formula1>Пол</formula1>
    </dataValidation>
    <dataValidation type="list" allowBlank="1" showInputMessage="1" showErrorMessage="1" sqref="I2:I65">
      <formula1>Специализированные_классы</formula1>
    </dataValidation>
    <dataValidation type="list" allowBlank="1" showInputMessage="1" showErrorMessage="1" sqref="F2:F65">
      <formula1>ОУ</formula1>
    </dataValidation>
    <dataValidation type="list" allowBlank="1" showInputMessage="1" showErrorMessage="1" sqref="J2:J65">
      <formula1>ОВЗ</formula1>
    </dataValidation>
    <dataValidation type="list" allowBlank="1" showInputMessage="1" showErrorMessage="1" sqref="O2:O65">
      <formula1>Район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Q52"/>
  <sheetViews>
    <sheetView workbookViewId="0">
      <selection activeCell="K5" sqref="K5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3.1406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244">
        <v>1</v>
      </c>
      <c r="B2" s="40" t="s">
        <v>348</v>
      </c>
      <c r="C2" s="40" t="s">
        <v>227</v>
      </c>
      <c r="D2" s="40" t="s">
        <v>195</v>
      </c>
      <c r="E2" s="244" t="s">
        <v>100</v>
      </c>
      <c r="F2" s="40" t="s">
        <v>154</v>
      </c>
      <c r="G2" s="185">
        <v>11</v>
      </c>
      <c r="H2" s="56">
        <v>11</v>
      </c>
      <c r="I2" s="40"/>
      <c r="J2" s="40" t="s">
        <v>127</v>
      </c>
      <c r="K2" s="240">
        <v>17</v>
      </c>
      <c r="L2" s="56">
        <v>48</v>
      </c>
      <c r="M2" s="4">
        <f t="shared" ref="M2:M20" si="0">K2/L2</f>
        <v>0.35416666666666669</v>
      </c>
      <c r="N2" s="40" t="s">
        <v>58</v>
      </c>
      <c r="O2" s="40" t="s">
        <v>76</v>
      </c>
      <c r="P2" s="22" t="s">
        <v>19</v>
      </c>
      <c r="Q2" s="142"/>
    </row>
    <row r="3" spans="1:17">
      <c r="A3" s="244">
        <v>2</v>
      </c>
      <c r="B3" s="40" t="s">
        <v>349</v>
      </c>
      <c r="C3" s="40" t="s">
        <v>350</v>
      </c>
      <c r="D3" s="40" t="s">
        <v>216</v>
      </c>
      <c r="E3" s="244" t="s">
        <v>99</v>
      </c>
      <c r="F3" s="40" t="s">
        <v>154</v>
      </c>
      <c r="G3" s="185">
        <v>11</v>
      </c>
      <c r="H3" s="56">
        <v>11</v>
      </c>
      <c r="I3" s="40"/>
      <c r="J3" s="40" t="s">
        <v>127</v>
      </c>
      <c r="K3" s="240">
        <v>12</v>
      </c>
      <c r="L3" s="56">
        <v>48</v>
      </c>
      <c r="M3" s="4">
        <f t="shared" si="0"/>
        <v>0.25</v>
      </c>
      <c r="N3" s="40" t="s">
        <v>58</v>
      </c>
      <c r="O3" s="40" t="s">
        <v>76</v>
      </c>
      <c r="P3" s="22" t="s">
        <v>19</v>
      </c>
      <c r="Q3" s="142"/>
    </row>
    <row r="4" spans="1:17" ht="12.75" customHeight="1">
      <c r="A4" s="214">
        <v>3</v>
      </c>
      <c r="B4" s="22" t="s">
        <v>351</v>
      </c>
      <c r="C4" s="40" t="s">
        <v>171</v>
      </c>
      <c r="D4" s="40" t="s">
        <v>175</v>
      </c>
      <c r="E4" s="244" t="s">
        <v>100</v>
      </c>
      <c r="F4" s="40" t="s">
        <v>154</v>
      </c>
      <c r="G4" s="185">
        <v>11</v>
      </c>
      <c r="H4" s="56">
        <v>11</v>
      </c>
      <c r="I4" s="40"/>
      <c r="J4" s="40" t="s">
        <v>127</v>
      </c>
      <c r="K4" s="240">
        <v>11</v>
      </c>
      <c r="L4" s="56">
        <v>48</v>
      </c>
      <c r="M4" s="4">
        <f t="shared" si="0"/>
        <v>0.22916666666666666</v>
      </c>
      <c r="N4" s="40" t="s">
        <v>58</v>
      </c>
      <c r="O4" s="40" t="s">
        <v>76</v>
      </c>
      <c r="P4" s="22" t="s">
        <v>19</v>
      </c>
      <c r="Q4" s="142"/>
    </row>
    <row r="5" spans="1:17" ht="12.75" customHeight="1">
      <c r="A5" s="174"/>
      <c r="B5" s="22"/>
      <c r="C5" s="40"/>
      <c r="D5" s="40"/>
      <c r="E5" s="43"/>
      <c r="F5" s="40"/>
      <c r="G5" s="184"/>
      <c r="H5" s="40"/>
      <c r="I5" s="40"/>
      <c r="J5" s="40"/>
      <c r="K5" s="173"/>
      <c r="L5" s="40"/>
      <c r="M5" s="4" t="e">
        <f t="shared" si="0"/>
        <v>#DIV/0!</v>
      </c>
      <c r="N5" s="40"/>
      <c r="O5" s="40" t="s">
        <v>76</v>
      </c>
      <c r="P5" s="22" t="s">
        <v>19</v>
      </c>
      <c r="Q5" s="142"/>
    </row>
    <row r="6" spans="1:17">
      <c r="A6" s="174"/>
      <c r="B6" s="22"/>
      <c r="C6" s="40"/>
      <c r="D6" s="40"/>
      <c r="E6" s="43"/>
      <c r="F6" s="40"/>
      <c r="G6" s="184"/>
      <c r="H6" s="40"/>
      <c r="I6" s="40"/>
      <c r="J6" s="40"/>
      <c r="K6" s="173"/>
      <c r="L6" s="40"/>
      <c r="M6" s="4" t="e">
        <f t="shared" si="0"/>
        <v>#DIV/0!</v>
      </c>
      <c r="N6" s="40"/>
      <c r="O6" s="40" t="s">
        <v>76</v>
      </c>
      <c r="P6" s="22" t="s">
        <v>19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19</v>
      </c>
      <c r="Q7" s="142"/>
    </row>
    <row r="8" spans="1:17" ht="12.75" customHeight="1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19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19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19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19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19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19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19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19</v>
      </c>
      <c r="Q15" s="142"/>
    </row>
    <row r="16" spans="1:17">
      <c r="A16" s="3"/>
      <c r="B16" s="13"/>
      <c r="C16" s="13"/>
      <c r="D16" s="13"/>
      <c r="E16" s="178"/>
      <c r="F16" s="40"/>
      <c r="G16" s="50"/>
      <c r="H16" s="3"/>
      <c r="I16" s="5"/>
      <c r="J16" s="40"/>
      <c r="K16" s="5"/>
      <c r="L16" s="3"/>
      <c r="M16" s="4" t="e">
        <f t="shared" si="0"/>
        <v>#DIV/0!</v>
      </c>
      <c r="N16" s="38"/>
      <c r="O16" s="40" t="s">
        <v>76</v>
      </c>
      <c r="P16" s="22" t="s">
        <v>19</v>
      </c>
      <c r="Q16" s="142"/>
    </row>
    <row r="17" spans="1:17">
      <c r="A17" s="3"/>
      <c r="B17" s="13"/>
      <c r="C17" s="13"/>
      <c r="D17" s="13"/>
      <c r="E17" s="178"/>
      <c r="F17" s="40"/>
      <c r="G17" s="50"/>
      <c r="H17" s="3"/>
      <c r="I17" s="5"/>
      <c r="J17" s="40"/>
      <c r="K17" s="5"/>
      <c r="L17" s="3"/>
      <c r="M17" s="4" t="e">
        <f t="shared" si="0"/>
        <v>#DIV/0!</v>
      </c>
      <c r="N17" s="38"/>
      <c r="O17" s="40" t="s">
        <v>76</v>
      </c>
      <c r="P17" s="22" t="s">
        <v>19</v>
      </c>
      <c r="Q17" s="142"/>
    </row>
    <row r="18" spans="1:17">
      <c r="A18" s="3"/>
      <c r="B18" s="13"/>
      <c r="C18" s="13"/>
      <c r="D18" s="13"/>
      <c r="E18" s="178"/>
      <c r="F18" s="40"/>
      <c r="G18" s="50"/>
      <c r="H18" s="3"/>
      <c r="I18" s="5"/>
      <c r="J18" s="40"/>
      <c r="K18" s="5"/>
      <c r="L18" s="3"/>
      <c r="M18" s="4" t="e">
        <f t="shared" si="0"/>
        <v>#DIV/0!</v>
      </c>
      <c r="N18" s="38"/>
      <c r="O18" s="40" t="s">
        <v>76</v>
      </c>
      <c r="P18" s="22" t="s">
        <v>19</v>
      </c>
      <c r="Q18" s="142"/>
    </row>
    <row r="19" spans="1:17">
      <c r="A19" s="109"/>
      <c r="B19" s="117"/>
      <c r="C19" s="117"/>
      <c r="D19" s="117"/>
      <c r="E19" s="179"/>
      <c r="F19" s="40"/>
      <c r="G19" s="189"/>
      <c r="H19" s="109"/>
      <c r="I19" s="111"/>
      <c r="J19" s="103"/>
      <c r="K19" s="111"/>
      <c r="L19" s="109"/>
      <c r="M19" s="4" t="e">
        <f t="shared" si="0"/>
        <v>#DIV/0!</v>
      </c>
      <c r="N19" s="113"/>
      <c r="O19" s="40" t="s">
        <v>76</v>
      </c>
      <c r="P19" s="108" t="s">
        <v>19</v>
      </c>
      <c r="Q19" s="142"/>
    </row>
    <row r="20" spans="1:17">
      <c r="A20" s="3"/>
      <c r="B20" s="13"/>
      <c r="C20" s="13"/>
      <c r="D20" s="13"/>
      <c r="E20" s="178"/>
      <c r="F20" s="40"/>
      <c r="G20" s="50"/>
      <c r="H20" s="3"/>
      <c r="I20" s="47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19</v>
      </c>
      <c r="Q20" s="142"/>
    </row>
    <row r="21" spans="1:17" s="26" customFormat="1">
      <c r="A21" s="72"/>
      <c r="B21" s="81"/>
      <c r="C21" s="81"/>
      <c r="D21" s="81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</row>
    <row r="22" spans="1:17" s="26" customFormat="1">
      <c r="A22" s="72"/>
      <c r="B22" s="81"/>
      <c r="C22" s="81"/>
      <c r="D22" s="81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</row>
    <row r="23" spans="1:17" s="26" customFormat="1">
      <c r="A23" s="72"/>
      <c r="B23" s="81"/>
      <c r="C23" s="81"/>
      <c r="D23" s="81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</row>
    <row r="24" spans="1:17" s="26" customFormat="1">
      <c r="A24" s="72"/>
      <c r="B24" s="81"/>
      <c r="C24" s="81"/>
      <c r="D24" s="81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</row>
    <row r="25" spans="1:17" s="26" customFormat="1">
      <c r="A25" s="72"/>
      <c r="B25" s="81"/>
      <c r="C25" s="81"/>
      <c r="D25" s="81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</row>
    <row r="26" spans="1:17" s="26" customFormat="1">
      <c r="A26" s="72"/>
      <c r="B26" s="81"/>
      <c r="C26" s="81"/>
      <c r="D26" s="81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</row>
    <row r="27" spans="1:17" s="26" customFormat="1">
      <c r="A27" s="72"/>
      <c r="B27" s="81"/>
      <c r="C27" s="81"/>
      <c r="D27" s="81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</row>
    <row r="28" spans="1:17" s="26" customFormat="1">
      <c r="A28" s="72"/>
      <c r="B28" s="81"/>
      <c r="C28" s="81"/>
      <c r="D28" s="81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</row>
    <row r="29" spans="1:17" s="26" customFormat="1">
      <c r="A29" s="72"/>
      <c r="B29" s="81"/>
      <c r="C29" s="81"/>
      <c r="D29" s="81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</row>
    <row r="30" spans="1:17" s="26" customFormat="1">
      <c r="A30" s="72"/>
      <c r="B30" s="81"/>
      <c r="C30" s="81"/>
      <c r="D30" s="81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</row>
    <row r="31" spans="1:17" s="26" customFormat="1">
      <c r="A31" s="72"/>
      <c r="B31" s="81"/>
      <c r="C31" s="81"/>
      <c r="D31" s="81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</row>
    <row r="32" spans="1:17" s="26" customFormat="1">
      <c r="A32" s="72"/>
      <c r="B32" s="81"/>
      <c r="C32" s="81"/>
      <c r="D32" s="81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</row>
    <row r="33" spans="1:16" s="26" customFormat="1">
      <c r="A33" s="72"/>
      <c r="B33" s="81"/>
      <c r="C33" s="81"/>
      <c r="D33" s="81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</row>
    <row r="34" spans="1:16" s="26" customFormat="1">
      <c r="C34" s="81"/>
      <c r="D34" s="81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</row>
    <row r="35" spans="1:16">
      <c r="C35" s="81"/>
      <c r="D35" s="81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81"/>
      <c r="D36" s="81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81"/>
      <c r="D37" s="81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81"/>
      <c r="D38" s="81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81"/>
      <c r="D39" s="81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81"/>
      <c r="D40" s="81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81"/>
      <c r="D41" s="81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81"/>
      <c r="D42" s="81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81"/>
      <c r="D43" s="81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81"/>
      <c r="D44" s="81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81"/>
      <c r="D45" s="81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81"/>
      <c r="D46" s="81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81"/>
      <c r="D47" s="81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81"/>
      <c r="D48" s="81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81"/>
      <c r="D49" s="81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81"/>
      <c r="D50" s="81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formatColumns="0" formatRows="0" insertHyperlinks="0" sort="0" autoFilter="0" pivotTables="0"/>
  <autoFilter ref="A1:Q1"/>
  <phoneticPr fontId="3" type="noConversion"/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Q52"/>
  <sheetViews>
    <sheetView workbookViewId="0">
      <selection activeCell="N22" sqref="N22:N34"/>
    </sheetView>
  </sheetViews>
  <sheetFormatPr defaultRowHeight="12.75"/>
  <cols>
    <col min="1" max="1" width="6.28515625" style="20" customWidth="1"/>
    <col min="2" max="2" width="16.7109375" style="20" customWidth="1"/>
    <col min="3" max="3" width="13.85546875" style="20" customWidth="1"/>
    <col min="4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0.5703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244">
        <v>1</v>
      </c>
      <c r="B2" s="6" t="s">
        <v>179</v>
      </c>
      <c r="C2" s="6" t="s">
        <v>301</v>
      </c>
      <c r="D2" s="6" t="s">
        <v>181</v>
      </c>
      <c r="E2" s="241" t="s">
        <v>99</v>
      </c>
      <c r="F2" s="40" t="s">
        <v>154</v>
      </c>
      <c r="G2" s="6">
        <v>5</v>
      </c>
      <c r="H2" s="6">
        <v>5</v>
      </c>
      <c r="I2" s="14"/>
      <c r="J2" s="40" t="s">
        <v>127</v>
      </c>
      <c r="K2" s="14">
        <v>34</v>
      </c>
      <c r="L2" s="6">
        <v>48</v>
      </c>
      <c r="M2" s="54">
        <f>K2/L2</f>
        <v>0.70833333333333337</v>
      </c>
      <c r="N2" s="40" t="s">
        <v>49</v>
      </c>
      <c r="O2" s="40" t="s">
        <v>76</v>
      </c>
      <c r="P2" s="22" t="s">
        <v>12</v>
      </c>
      <c r="Q2" s="142"/>
    </row>
    <row r="3" spans="1:17">
      <c r="A3" s="244">
        <v>2</v>
      </c>
      <c r="B3" s="6" t="s">
        <v>194</v>
      </c>
      <c r="C3" s="6" t="s">
        <v>171</v>
      </c>
      <c r="D3" s="6" t="s">
        <v>195</v>
      </c>
      <c r="E3" s="241" t="s">
        <v>100</v>
      </c>
      <c r="F3" s="40" t="s">
        <v>154</v>
      </c>
      <c r="G3" s="6">
        <v>5</v>
      </c>
      <c r="H3" s="6">
        <v>5</v>
      </c>
      <c r="I3" s="14"/>
      <c r="J3" s="40" t="s">
        <v>127</v>
      </c>
      <c r="K3" s="14">
        <v>30</v>
      </c>
      <c r="L3" s="6">
        <v>48</v>
      </c>
      <c r="M3" s="54">
        <f t="shared" ref="M3:M4" si="0">K3/L3</f>
        <v>0.625</v>
      </c>
      <c r="N3" s="40" t="s">
        <v>50</v>
      </c>
      <c r="O3" s="40" t="s">
        <v>76</v>
      </c>
      <c r="P3" s="22" t="s">
        <v>12</v>
      </c>
      <c r="Q3" s="142"/>
    </row>
    <row r="4" spans="1:17">
      <c r="A4" s="244">
        <v>3</v>
      </c>
      <c r="B4" s="6" t="s">
        <v>302</v>
      </c>
      <c r="C4" s="6" t="s">
        <v>303</v>
      </c>
      <c r="D4" s="6" t="s">
        <v>198</v>
      </c>
      <c r="E4" s="241" t="s">
        <v>100</v>
      </c>
      <c r="F4" s="40" t="s">
        <v>154</v>
      </c>
      <c r="G4" s="6">
        <v>5</v>
      </c>
      <c r="H4" s="6">
        <v>5</v>
      </c>
      <c r="I4" s="14"/>
      <c r="J4" s="40" t="s">
        <v>127</v>
      </c>
      <c r="K4" s="14">
        <v>23</v>
      </c>
      <c r="L4" s="6">
        <v>48</v>
      </c>
      <c r="M4" s="54">
        <f t="shared" si="0"/>
        <v>0.47916666666666669</v>
      </c>
      <c r="N4" s="40" t="s">
        <v>58</v>
      </c>
      <c r="O4" s="40" t="s">
        <v>76</v>
      </c>
      <c r="P4" s="22" t="s">
        <v>12</v>
      </c>
      <c r="Q4" s="142"/>
    </row>
    <row r="5" spans="1:17">
      <c r="A5" s="244">
        <v>4</v>
      </c>
      <c r="B5" s="6" t="s">
        <v>257</v>
      </c>
      <c r="C5" s="6" t="s">
        <v>200</v>
      </c>
      <c r="D5" s="6" t="s">
        <v>243</v>
      </c>
      <c r="E5" s="242" t="s">
        <v>100</v>
      </c>
      <c r="F5" s="40" t="s">
        <v>154</v>
      </c>
      <c r="G5" s="51">
        <v>6</v>
      </c>
      <c r="H5" s="6">
        <v>6</v>
      </c>
      <c r="I5" s="14"/>
      <c r="J5" s="40" t="s">
        <v>127</v>
      </c>
      <c r="K5" s="14">
        <v>22</v>
      </c>
      <c r="L5" s="6">
        <v>46</v>
      </c>
      <c r="M5" s="54">
        <f>K5/L5</f>
        <v>0.47826086956521741</v>
      </c>
      <c r="N5" s="40" t="s">
        <v>50</v>
      </c>
      <c r="O5" s="40" t="s">
        <v>76</v>
      </c>
      <c r="P5" s="22" t="s">
        <v>12</v>
      </c>
      <c r="Q5" s="142"/>
    </row>
    <row r="6" spans="1:17">
      <c r="A6" s="244">
        <v>5</v>
      </c>
      <c r="B6" s="6" t="s">
        <v>256</v>
      </c>
      <c r="C6" s="6" t="s">
        <v>225</v>
      </c>
      <c r="D6" s="6" t="s">
        <v>220</v>
      </c>
      <c r="E6" s="242" t="s">
        <v>100</v>
      </c>
      <c r="F6" s="40" t="s">
        <v>154</v>
      </c>
      <c r="G6" s="51">
        <v>6</v>
      </c>
      <c r="H6" s="6">
        <v>6</v>
      </c>
      <c r="I6" s="14"/>
      <c r="J6" s="40" t="s">
        <v>127</v>
      </c>
      <c r="K6" s="14">
        <v>21</v>
      </c>
      <c r="L6" s="6">
        <v>46</v>
      </c>
      <c r="M6" s="54">
        <f t="shared" ref="M6:M10" si="1">K6/L6</f>
        <v>0.45652173913043476</v>
      </c>
      <c r="N6" s="40" t="s">
        <v>58</v>
      </c>
      <c r="O6" s="40" t="s">
        <v>76</v>
      </c>
      <c r="P6" s="22" t="s">
        <v>12</v>
      </c>
      <c r="Q6" s="142"/>
    </row>
    <row r="7" spans="1:17">
      <c r="A7" s="244">
        <v>6</v>
      </c>
      <c r="B7" s="6" t="s">
        <v>304</v>
      </c>
      <c r="C7" s="6" t="s">
        <v>270</v>
      </c>
      <c r="D7" s="6" t="s">
        <v>305</v>
      </c>
      <c r="E7" s="242" t="s">
        <v>99</v>
      </c>
      <c r="F7" s="40" t="s">
        <v>154</v>
      </c>
      <c r="G7" s="51">
        <v>6</v>
      </c>
      <c r="H7" s="6">
        <v>6</v>
      </c>
      <c r="I7" s="14"/>
      <c r="J7" s="40" t="s">
        <v>127</v>
      </c>
      <c r="K7" s="14">
        <v>20</v>
      </c>
      <c r="L7" s="6">
        <v>46</v>
      </c>
      <c r="M7" s="54">
        <f t="shared" si="1"/>
        <v>0.43478260869565216</v>
      </c>
      <c r="N7" s="40" t="s">
        <v>58</v>
      </c>
      <c r="O7" s="40" t="s">
        <v>76</v>
      </c>
      <c r="P7" s="22" t="s">
        <v>12</v>
      </c>
      <c r="Q7" s="142"/>
    </row>
    <row r="8" spans="1:17">
      <c r="A8" s="244">
        <v>7</v>
      </c>
      <c r="B8" s="121" t="s">
        <v>264</v>
      </c>
      <c r="C8" s="121" t="s">
        <v>263</v>
      </c>
      <c r="D8" s="121" t="s">
        <v>233</v>
      </c>
      <c r="E8" s="243" t="s">
        <v>100</v>
      </c>
      <c r="F8" s="40" t="s">
        <v>154</v>
      </c>
      <c r="G8" s="51">
        <v>6</v>
      </c>
      <c r="H8" s="6">
        <v>6</v>
      </c>
      <c r="I8" s="124"/>
      <c r="J8" s="40" t="s">
        <v>127</v>
      </c>
      <c r="K8" s="124">
        <v>19</v>
      </c>
      <c r="L8" s="6">
        <v>46</v>
      </c>
      <c r="M8" s="54">
        <f t="shared" si="1"/>
        <v>0.41304347826086957</v>
      </c>
      <c r="N8" s="40" t="s">
        <v>58</v>
      </c>
      <c r="O8" s="40" t="s">
        <v>76</v>
      </c>
      <c r="P8" s="22" t="s">
        <v>12</v>
      </c>
      <c r="Q8" s="142"/>
    </row>
    <row r="9" spans="1:17">
      <c r="A9" s="244">
        <v>8</v>
      </c>
      <c r="B9" s="6" t="s">
        <v>306</v>
      </c>
      <c r="C9" s="6" t="s">
        <v>307</v>
      </c>
      <c r="D9" s="6" t="s">
        <v>308</v>
      </c>
      <c r="E9" s="242" t="s">
        <v>99</v>
      </c>
      <c r="F9" s="40" t="s">
        <v>154</v>
      </c>
      <c r="G9" s="51">
        <v>6</v>
      </c>
      <c r="H9" s="6">
        <v>6</v>
      </c>
      <c r="I9" s="216"/>
      <c r="J9" s="40" t="s">
        <v>127</v>
      </c>
      <c r="K9" s="221">
        <v>16</v>
      </c>
      <c r="L9" s="6">
        <v>46</v>
      </c>
      <c r="M9" s="54">
        <f t="shared" si="1"/>
        <v>0.34782608695652173</v>
      </c>
      <c r="N9" s="40" t="s">
        <v>58</v>
      </c>
      <c r="O9" s="40" t="s">
        <v>76</v>
      </c>
      <c r="P9" s="22" t="s">
        <v>12</v>
      </c>
      <c r="Q9" s="142"/>
    </row>
    <row r="10" spans="1:17">
      <c r="A10" s="244">
        <v>9</v>
      </c>
      <c r="B10" s="6" t="s">
        <v>288</v>
      </c>
      <c r="C10" s="6" t="s">
        <v>287</v>
      </c>
      <c r="D10" s="6" t="s">
        <v>286</v>
      </c>
      <c r="E10" s="241" t="s">
        <v>99</v>
      </c>
      <c r="F10" s="40" t="s">
        <v>154</v>
      </c>
      <c r="G10" s="51">
        <v>6</v>
      </c>
      <c r="H10" s="6">
        <v>6</v>
      </c>
      <c r="I10" s="14"/>
      <c r="J10" s="40" t="s">
        <v>127</v>
      </c>
      <c r="K10" s="14">
        <v>15</v>
      </c>
      <c r="L10" s="6">
        <v>46</v>
      </c>
      <c r="M10" s="54">
        <f t="shared" si="1"/>
        <v>0.32608695652173914</v>
      </c>
      <c r="N10" s="40" t="s">
        <v>58</v>
      </c>
      <c r="O10" s="40" t="s">
        <v>76</v>
      </c>
      <c r="P10" s="22" t="s">
        <v>12</v>
      </c>
      <c r="Q10" s="142"/>
    </row>
    <row r="11" spans="1:17">
      <c r="A11" s="244">
        <v>10</v>
      </c>
      <c r="B11" s="22" t="s">
        <v>312</v>
      </c>
      <c r="C11" s="40" t="s">
        <v>242</v>
      </c>
      <c r="D11" s="40" t="s">
        <v>311</v>
      </c>
      <c r="E11" s="244" t="s">
        <v>100</v>
      </c>
      <c r="F11" s="40" t="s">
        <v>154</v>
      </c>
      <c r="G11" s="185">
        <v>7</v>
      </c>
      <c r="H11" s="56">
        <v>7</v>
      </c>
      <c r="I11" s="40"/>
      <c r="J11" s="40" t="s">
        <v>127</v>
      </c>
      <c r="K11" s="240">
        <v>39</v>
      </c>
      <c r="L11" s="56">
        <v>121</v>
      </c>
      <c r="M11" s="54">
        <f>K11/L11</f>
        <v>0.32231404958677684</v>
      </c>
      <c r="N11" s="40" t="s">
        <v>58</v>
      </c>
      <c r="O11" s="40" t="s">
        <v>76</v>
      </c>
      <c r="P11" s="22" t="s">
        <v>12</v>
      </c>
      <c r="Q11" s="142"/>
    </row>
    <row r="12" spans="1:17">
      <c r="A12" s="244">
        <v>11</v>
      </c>
      <c r="B12" s="22" t="s">
        <v>222</v>
      </c>
      <c r="C12" s="40" t="s">
        <v>289</v>
      </c>
      <c r="D12" s="40" t="s">
        <v>223</v>
      </c>
      <c r="E12" s="244" t="s">
        <v>100</v>
      </c>
      <c r="F12" s="40" t="s">
        <v>154</v>
      </c>
      <c r="G12" s="185">
        <v>7</v>
      </c>
      <c r="H12" s="56">
        <v>7</v>
      </c>
      <c r="I12" s="40"/>
      <c r="J12" s="40" t="s">
        <v>127</v>
      </c>
      <c r="K12" s="240">
        <v>37</v>
      </c>
      <c r="L12" s="56">
        <v>121</v>
      </c>
      <c r="M12" s="54">
        <f t="shared" ref="M12:M19" si="2">K12/L12</f>
        <v>0.30578512396694213</v>
      </c>
      <c r="N12" s="40" t="s">
        <v>58</v>
      </c>
      <c r="O12" s="40" t="s">
        <v>76</v>
      </c>
      <c r="P12" s="22" t="s">
        <v>12</v>
      </c>
      <c r="Q12" s="142"/>
    </row>
    <row r="13" spans="1:17">
      <c r="A13" s="244">
        <v>12</v>
      </c>
      <c r="B13" s="22" t="s">
        <v>310</v>
      </c>
      <c r="C13" s="40" t="s">
        <v>294</v>
      </c>
      <c r="D13" s="40" t="s">
        <v>223</v>
      </c>
      <c r="E13" s="244" t="s">
        <v>100</v>
      </c>
      <c r="F13" s="40" t="s">
        <v>154</v>
      </c>
      <c r="G13" s="185">
        <v>7</v>
      </c>
      <c r="H13" s="56">
        <v>7</v>
      </c>
      <c r="I13" s="40"/>
      <c r="J13" s="40" t="s">
        <v>127</v>
      </c>
      <c r="K13" s="240">
        <v>31</v>
      </c>
      <c r="L13" s="56">
        <v>121</v>
      </c>
      <c r="M13" s="54">
        <f t="shared" si="2"/>
        <v>0.256198347107438</v>
      </c>
      <c r="N13" s="40" t="s">
        <v>58</v>
      </c>
      <c r="O13" s="40" t="s">
        <v>76</v>
      </c>
      <c r="P13" s="22" t="s">
        <v>12</v>
      </c>
      <c r="Q13" s="142"/>
    </row>
    <row r="14" spans="1:17">
      <c r="A14" s="244">
        <v>13</v>
      </c>
      <c r="B14" s="22" t="s">
        <v>309</v>
      </c>
      <c r="C14" s="40" t="s">
        <v>204</v>
      </c>
      <c r="D14" s="40" t="s">
        <v>252</v>
      </c>
      <c r="E14" s="244" t="s">
        <v>100</v>
      </c>
      <c r="F14" s="40" t="s">
        <v>154</v>
      </c>
      <c r="G14" s="185">
        <v>7</v>
      </c>
      <c r="H14" s="56">
        <v>7</v>
      </c>
      <c r="I14" s="40"/>
      <c r="J14" s="40" t="s">
        <v>127</v>
      </c>
      <c r="K14" s="240">
        <v>26</v>
      </c>
      <c r="L14" s="56">
        <v>121</v>
      </c>
      <c r="M14" s="54">
        <f t="shared" si="2"/>
        <v>0.21487603305785125</v>
      </c>
      <c r="N14" s="40" t="s">
        <v>58</v>
      </c>
      <c r="O14" s="40" t="s">
        <v>76</v>
      </c>
      <c r="P14" s="22" t="s">
        <v>12</v>
      </c>
      <c r="Q14" s="142"/>
    </row>
    <row r="15" spans="1:17">
      <c r="A15" s="244">
        <v>14</v>
      </c>
      <c r="B15" s="22" t="s">
        <v>271</v>
      </c>
      <c r="C15" s="40" t="s">
        <v>296</v>
      </c>
      <c r="D15" s="40" t="s">
        <v>295</v>
      </c>
      <c r="E15" s="244" t="s">
        <v>100</v>
      </c>
      <c r="F15" s="40" t="s">
        <v>154</v>
      </c>
      <c r="G15" s="185">
        <v>7</v>
      </c>
      <c r="H15" s="56">
        <v>7</v>
      </c>
      <c r="I15" s="40"/>
      <c r="J15" s="40" t="s">
        <v>127</v>
      </c>
      <c r="K15" s="240">
        <v>15</v>
      </c>
      <c r="L15" s="56">
        <v>121</v>
      </c>
      <c r="M15" s="54">
        <f t="shared" si="2"/>
        <v>0.12396694214876033</v>
      </c>
      <c r="N15" s="40" t="s">
        <v>58</v>
      </c>
      <c r="O15" s="40" t="s">
        <v>76</v>
      </c>
      <c r="P15" s="22" t="s">
        <v>12</v>
      </c>
      <c r="Q15" s="142"/>
    </row>
    <row r="16" spans="1:17">
      <c r="A16" s="244">
        <v>15</v>
      </c>
      <c r="B16" s="22" t="s">
        <v>321</v>
      </c>
      <c r="C16" s="40" t="s">
        <v>320</v>
      </c>
      <c r="D16" s="40" t="s">
        <v>319</v>
      </c>
      <c r="E16" s="244" t="s">
        <v>99</v>
      </c>
      <c r="F16" s="40" t="s">
        <v>154</v>
      </c>
      <c r="G16" s="185">
        <v>8</v>
      </c>
      <c r="H16" s="56">
        <v>8</v>
      </c>
      <c r="I16" s="40"/>
      <c r="J16" s="40" t="s">
        <v>127</v>
      </c>
      <c r="K16" s="240">
        <v>70</v>
      </c>
      <c r="L16" s="56">
        <v>118</v>
      </c>
      <c r="M16" s="54">
        <f t="shared" si="2"/>
        <v>0.59322033898305082</v>
      </c>
      <c r="N16" s="48" t="s">
        <v>49</v>
      </c>
      <c r="O16" s="40" t="s">
        <v>76</v>
      </c>
      <c r="P16" s="22" t="s">
        <v>12</v>
      </c>
      <c r="Q16" s="142"/>
    </row>
    <row r="17" spans="1:17">
      <c r="A17" s="244">
        <v>16</v>
      </c>
      <c r="B17" s="22" t="s">
        <v>318</v>
      </c>
      <c r="C17" s="40" t="s">
        <v>263</v>
      </c>
      <c r="D17" s="40" t="s">
        <v>235</v>
      </c>
      <c r="E17" s="244" t="s">
        <v>100</v>
      </c>
      <c r="F17" s="40" t="s">
        <v>154</v>
      </c>
      <c r="G17" s="185">
        <v>8</v>
      </c>
      <c r="H17" s="56">
        <v>8</v>
      </c>
      <c r="I17" s="40"/>
      <c r="J17" s="40" t="s">
        <v>127</v>
      </c>
      <c r="K17" s="240">
        <v>67</v>
      </c>
      <c r="L17" s="56">
        <v>118</v>
      </c>
      <c r="M17" s="54">
        <f t="shared" si="2"/>
        <v>0.56779661016949157</v>
      </c>
      <c r="N17" s="48" t="s">
        <v>50</v>
      </c>
      <c r="O17" s="40" t="s">
        <v>76</v>
      </c>
      <c r="P17" s="22" t="s">
        <v>12</v>
      </c>
      <c r="Q17" s="142"/>
    </row>
    <row r="18" spans="1:17">
      <c r="A18" s="244">
        <v>17</v>
      </c>
      <c r="B18" s="22" t="s">
        <v>317</v>
      </c>
      <c r="C18" s="40" t="s">
        <v>316</v>
      </c>
      <c r="D18" s="40" t="s">
        <v>175</v>
      </c>
      <c r="E18" s="244" t="s">
        <v>100</v>
      </c>
      <c r="F18" s="40" t="s">
        <v>154</v>
      </c>
      <c r="G18" s="185">
        <v>8</v>
      </c>
      <c r="H18" s="56">
        <v>8</v>
      </c>
      <c r="I18" s="40"/>
      <c r="J18" s="40" t="s">
        <v>127</v>
      </c>
      <c r="K18" s="240">
        <v>67</v>
      </c>
      <c r="L18" s="56">
        <v>118</v>
      </c>
      <c r="M18" s="54">
        <f t="shared" si="2"/>
        <v>0.56779661016949157</v>
      </c>
      <c r="N18" s="48" t="s">
        <v>58</v>
      </c>
      <c r="O18" s="40" t="s">
        <v>76</v>
      </c>
      <c r="P18" s="22" t="s">
        <v>12</v>
      </c>
      <c r="Q18" s="142"/>
    </row>
    <row r="19" spans="1:17">
      <c r="A19" s="244">
        <v>18</v>
      </c>
      <c r="B19" s="22" t="s">
        <v>315</v>
      </c>
      <c r="C19" s="40" t="s">
        <v>314</v>
      </c>
      <c r="D19" s="40" t="s">
        <v>313</v>
      </c>
      <c r="E19" s="244" t="s">
        <v>100</v>
      </c>
      <c r="F19" s="40" t="s">
        <v>154</v>
      </c>
      <c r="G19" s="185">
        <v>8</v>
      </c>
      <c r="H19" s="56">
        <v>8</v>
      </c>
      <c r="I19" s="40"/>
      <c r="J19" s="40" t="s">
        <v>127</v>
      </c>
      <c r="K19" s="240">
        <v>59</v>
      </c>
      <c r="L19" s="56">
        <v>118</v>
      </c>
      <c r="M19" s="54">
        <f t="shared" si="2"/>
        <v>0.5</v>
      </c>
      <c r="N19" s="48" t="s">
        <v>58</v>
      </c>
      <c r="O19" s="40" t="s">
        <v>76</v>
      </c>
      <c r="P19" s="108" t="s">
        <v>12</v>
      </c>
      <c r="Q19" s="142"/>
    </row>
    <row r="20" spans="1:17">
      <c r="A20" s="244">
        <v>19</v>
      </c>
      <c r="B20" s="6" t="s">
        <v>244</v>
      </c>
      <c r="C20" s="6" t="s">
        <v>245</v>
      </c>
      <c r="D20" s="6" t="s">
        <v>246</v>
      </c>
      <c r="E20" s="241" t="s">
        <v>99</v>
      </c>
      <c r="F20" s="40" t="s">
        <v>154</v>
      </c>
      <c r="G20" s="245">
        <v>9</v>
      </c>
      <c r="H20" s="6">
        <v>9</v>
      </c>
      <c r="I20" s="14"/>
      <c r="J20" s="40" t="s">
        <v>127</v>
      </c>
      <c r="K20" s="246">
        <v>67</v>
      </c>
      <c r="L20" s="6">
        <v>77</v>
      </c>
      <c r="M20" s="54">
        <f t="shared" ref="M20:M39" si="3">K20/L20</f>
        <v>0.87012987012987009</v>
      </c>
      <c r="N20" s="48" t="s">
        <v>49</v>
      </c>
      <c r="O20" s="40" t="s">
        <v>76</v>
      </c>
      <c r="P20" s="22" t="s">
        <v>12</v>
      </c>
      <c r="Q20" s="142"/>
    </row>
    <row r="21" spans="1:17">
      <c r="A21" s="244">
        <v>20</v>
      </c>
      <c r="B21" s="6" t="s">
        <v>331</v>
      </c>
      <c r="C21" s="6" t="s">
        <v>173</v>
      </c>
      <c r="D21" s="6" t="s">
        <v>223</v>
      </c>
      <c r="E21" s="241" t="s">
        <v>100</v>
      </c>
      <c r="F21" s="40" t="s">
        <v>154</v>
      </c>
      <c r="G21" s="245">
        <v>9</v>
      </c>
      <c r="H21" s="6">
        <v>9</v>
      </c>
      <c r="I21" s="14"/>
      <c r="J21" s="40" t="s">
        <v>127</v>
      </c>
      <c r="K21" s="246">
        <v>51</v>
      </c>
      <c r="L21" s="6">
        <v>77</v>
      </c>
      <c r="M21" s="54">
        <f t="shared" si="3"/>
        <v>0.66233766233766234</v>
      </c>
      <c r="N21" s="6" t="s">
        <v>50</v>
      </c>
      <c r="O21" s="40" t="s">
        <v>76</v>
      </c>
      <c r="P21" s="22" t="s">
        <v>12</v>
      </c>
      <c r="Q21" s="142"/>
    </row>
    <row r="22" spans="1:17">
      <c r="A22" s="244">
        <v>21</v>
      </c>
      <c r="B22" s="6" t="s">
        <v>332</v>
      </c>
      <c r="C22" s="6" t="s">
        <v>333</v>
      </c>
      <c r="D22" s="6" t="s">
        <v>334</v>
      </c>
      <c r="E22" s="241" t="s">
        <v>99</v>
      </c>
      <c r="F22" s="40" t="s">
        <v>154</v>
      </c>
      <c r="G22" s="245">
        <v>9</v>
      </c>
      <c r="H22" s="6">
        <v>9</v>
      </c>
      <c r="I22" s="14"/>
      <c r="J22" s="40" t="s">
        <v>127</v>
      </c>
      <c r="K22" s="246">
        <v>50</v>
      </c>
      <c r="L22" s="6">
        <v>77</v>
      </c>
      <c r="M22" s="54">
        <f t="shared" si="3"/>
        <v>0.64935064935064934</v>
      </c>
      <c r="N22" s="6" t="s">
        <v>58</v>
      </c>
      <c r="O22" s="40" t="s">
        <v>76</v>
      </c>
      <c r="P22" s="22" t="s">
        <v>12</v>
      </c>
      <c r="Q22" s="142"/>
    </row>
    <row r="23" spans="1:17">
      <c r="A23" s="244">
        <v>22</v>
      </c>
      <c r="B23" s="6" t="s">
        <v>335</v>
      </c>
      <c r="C23" s="6" t="s">
        <v>229</v>
      </c>
      <c r="D23" s="6" t="s">
        <v>240</v>
      </c>
      <c r="E23" s="241" t="s">
        <v>100</v>
      </c>
      <c r="F23" s="40" t="s">
        <v>154</v>
      </c>
      <c r="G23" s="245">
        <v>9</v>
      </c>
      <c r="H23" s="6">
        <v>9</v>
      </c>
      <c r="I23" s="14"/>
      <c r="J23" s="40" t="s">
        <v>127</v>
      </c>
      <c r="K23" s="246">
        <v>47</v>
      </c>
      <c r="L23" s="6">
        <v>77</v>
      </c>
      <c r="M23" s="54">
        <f t="shared" si="3"/>
        <v>0.61038961038961037</v>
      </c>
      <c r="N23" s="6" t="s">
        <v>58</v>
      </c>
      <c r="O23" s="40" t="s">
        <v>76</v>
      </c>
      <c r="P23" s="22" t="s">
        <v>12</v>
      </c>
      <c r="Q23" s="142"/>
    </row>
    <row r="24" spans="1:17">
      <c r="A24" s="244">
        <v>23</v>
      </c>
      <c r="B24" s="6" t="s">
        <v>336</v>
      </c>
      <c r="C24" s="6" t="s">
        <v>337</v>
      </c>
      <c r="D24" s="6" t="s">
        <v>338</v>
      </c>
      <c r="E24" s="241" t="s">
        <v>100</v>
      </c>
      <c r="F24" s="40" t="s">
        <v>154</v>
      </c>
      <c r="G24" s="245">
        <v>9</v>
      </c>
      <c r="H24" s="6">
        <v>9</v>
      </c>
      <c r="I24" s="14"/>
      <c r="J24" s="40" t="s">
        <v>127</v>
      </c>
      <c r="K24" s="246">
        <v>36</v>
      </c>
      <c r="L24" s="6">
        <v>77</v>
      </c>
      <c r="M24" s="54">
        <f t="shared" si="3"/>
        <v>0.46753246753246752</v>
      </c>
      <c r="N24" s="6" t="s">
        <v>58</v>
      </c>
      <c r="O24" s="40" t="s">
        <v>76</v>
      </c>
      <c r="P24" s="22" t="s">
        <v>12</v>
      </c>
      <c r="Q24" s="142"/>
    </row>
    <row r="25" spans="1:17">
      <c r="A25" s="244">
        <v>24</v>
      </c>
      <c r="B25" s="22" t="s">
        <v>224</v>
      </c>
      <c r="C25" s="6" t="s">
        <v>225</v>
      </c>
      <c r="D25" s="6" t="s">
        <v>174</v>
      </c>
      <c r="E25" s="241" t="s">
        <v>100</v>
      </c>
      <c r="F25" s="40" t="s">
        <v>154</v>
      </c>
      <c r="G25" s="245">
        <v>9</v>
      </c>
      <c r="H25" s="6">
        <v>9</v>
      </c>
      <c r="I25" s="14"/>
      <c r="J25" s="40" t="s">
        <v>127</v>
      </c>
      <c r="K25" s="246">
        <v>35</v>
      </c>
      <c r="L25" s="6">
        <v>77</v>
      </c>
      <c r="M25" s="54">
        <f t="shared" si="3"/>
        <v>0.45454545454545453</v>
      </c>
      <c r="N25" s="6" t="s">
        <v>58</v>
      </c>
      <c r="O25" s="40" t="s">
        <v>76</v>
      </c>
      <c r="P25" s="22" t="s">
        <v>12</v>
      </c>
      <c r="Q25" s="142"/>
    </row>
    <row r="26" spans="1:17">
      <c r="A26" s="244">
        <v>25</v>
      </c>
      <c r="B26" s="22" t="s">
        <v>221</v>
      </c>
      <c r="C26" s="6" t="s">
        <v>177</v>
      </c>
      <c r="D26" s="6" t="s">
        <v>220</v>
      </c>
      <c r="E26" s="241" t="s">
        <v>100</v>
      </c>
      <c r="F26" s="40" t="s">
        <v>154</v>
      </c>
      <c r="G26" s="245">
        <v>9</v>
      </c>
      <c r="H26" s="6">
        <v>9</v>
      </c>
      <c r="I26" s="14"/>
      <c r="J26" s="40" t="s">
        <v>127</v>
      </c>
      <c r="K26" s="246">
        <v>34</v>
      </c>
      <c r="L26" s="6">
        <v>77</v>
      </c>
      <c r="M26" s="54">
        <f t="shared" si="3"/>
        <v>0.44155844155844154</v>
      </c>
      <c r="N26" s="6" t="s">
        <v>58</v>
      </c>
      <c r="O26" s="40" t="s">
        <v>76</v>
      </c>
      <c r="P26" s="22" t="s">
        <v>12</v>
      </c>
      <c r="Q26" s="142"/>
    </row>
    <row r="27" spans="1:17">
      <c r="A27" s="244">
        <v>26</v>
      </c>
      <c r="B27" s="22" t="s">
        <v>339</v>
      </c>
      <c r="C27" s="6" t="s">
        <v>177</v>
      </c>
      <c r="D27" s="6" t="s">
        <v>340</v>
      </c>
      <c r="E27" s="241" t="s">
        <v>100</v>
      </c>
      <c r="F27" s="40" t="s">
        <v>154</v>
      </c>
      <c r="G27" s="245">
        <v>9</v>
      </c>
      <c r="H27" s="6">
        <v>9</v>
      </c>
      <c r="I27" s="14"/>
      <c r="J27" s="40" t="s">
        <v>127</v>
      </c>
      <c r="K27" s="246">
        <v>32</v>
      </c>
      <c r="L27" s="6">
        <v>77</v>
      </c>
      <c r="M27" s="54">
        <f t="shared" si="3"/>
        <v>0.41558441558441561</v>
      </c>
      <c r="N27" s="6" t="s">
        <v>58</v>
      </c>
      <c r="O27" s="40" t="s">
        <v>76</v>
      </c>
      <c r="P27" s="22" t="s">
        <v>12</v>
      </c>
      <c r="Q27" s="142"/>
    </row>
    <row r="28" spans="1:17">
      <c r="A28" s="244">
        <v>27</v>
      </c>
      <c r="B28" s="22" t="s">
        <v>226</v>
      </c>
      <c r="C28" s="6" t="s">
        <v>227</v>
      </c>
      <c r="D28" s="6" t="s">
        <v>175</v>
      </c>
      <c r="E28" s="241" t="s">
        <v>100</v>
      </c>
      <c r="F28" s="40" t="s">
        <v>154</v>
      </c>
      <c r="G28" s="245">
        <v>9</v>
      </c>
      <c r="H28" s="6">
        <v>9</v>
      </c>
      <c r="I28" s="14"/>
      <c r="J28" s="40" t="s">
        <v>127</v>
      </c>
      <c r="K28" s="246">
        <v>29</v>
      </c>
      <c r="L28" s="6">
        <v>77</v>
      </c>
      <c r="M28" s="54">
        <f t="shared" si="3"/>
        <v>0.37662337662337664</v>
      </c>
      <c r="N28" s="6" t="s">
        <v>58</v>
      </c>
      <c r="O28" s="40" t="s">
        <v>76</v>
      </c>
      <c r="P28" s="22" t="s">
        <v>12</v>
      </c>
      <c r="Q28" s="142"/>
    </row>
    <row r="29" spans="1:17">
      <c r="A29" s="244">
        <v>28</v>
      </c>
      <c r="B29" s="22" t="s">
        <v>249</v>
      </c>
      <c r="C29" s="6" t="s">
        <v>232</v>
      </c>
      <c r="D29" s="6" t="s">
        <v>250</v>
      </c>
      <c r="E29" s="241" t="s">
        <v>100</v>
      </c>
      <c r="F29" s="40" t="s">
        <v>154</v>
      </c>
      <c r="G29" s="245">
        <v>9</v>
      </c>
      <c r="H29" s="6">
        <v>9</v>
      </c>
      <c r="I29" s="14"/>
      <c r="J29" s="40" t="s">
        <v>127</v>
      </c>
      <c r="K29" s="246">
        <v>29</v>
      </c>
      <c r="L29" s="6">
        <v>77</v>
      </c>
      <c r="M29" s="54">
        <f t="shared" si="3"/>
        <v>0.37662337662337664</v>
      </c>
      <c r="N29" s="6" t="s">
        <v>58</v>
      </c>
      <c r="O29" s="40" t="s">
        <v>76</v>
      </c>
      <c r="P29" s="22" t="s">
        <v>12</v>
      </c>
      <c r="Q29" s="142"/>
    </row>
    <row r="30" spans="1:17">
      <c r="A30" s="244">
        <v>29</v>
      </c>
      <c r="B30" s="22" t="s">
        <v>228</v>
      </c>
      <c r="C30" s="6" t="s">
        <v>229</v>
      </c>
      <c r="D30" s="6" t="s">
        <v>205</v>
      </c>
      <c r="E30" s="241" t="s">
        <v>100</v>
      </c>
      <c r="F30" s="40" t="s">
        <v>154</v>
      </c>
      <c r="G30" s="245">
        <v>9</v>
      </c>
      <c r="H30" s="6">
        <v>9</v>
      </c>
      <c r="I30" s="14"/>
      <c r="J30" s="40" t="s">
        <v>127</v>
      </c>
      <c r="K30" s="246">
        <v>29</v>
      </c>
      <c r="L30" s="6">
        <v>77</v>
      </c>
      <c r="M30" s="54">
        <f t="shared" si="3"/>
        <v>0.37662337662337664</v>
      </c>
      <c r="N30" s="6" t="s">
        <v>58</v>
      </c>
      <c r="O30" s="40" t="s">
        <v>76</v>
      </c>
      <c r="P30" s="22" t="s">
        <v>12</v>
      </c>
      <c r="Q30" s="142"/>
    </row>
    <row r="31" spans="1:17">
      <c r="A31" s="244">
        <v>30</v>
      </c>
      <c r="B31" s="22" t="s">
        <v>219</v>
      </c>
      <c r="C31" s="6" t="s">
        <v>204</v>
      </c>
      <c r="D31" s="6" t="s">
        <v>220</v>
      </c>
      <c r="E31" s="241" t="s">
        <v>100</v>
      </c>
      <c r="F31" s="40" t="s">
        <v>154</v>
      </c>
      <c r="G31" s="245">
        <v>9</v>
      </c>
      <c r="H31" s="6">
        <v>9</v>
      </c>
      <c r="I31" s="14"/>
      <c r="J31" s="40" t="s">
        <v>127</v>
      </c>
      <c r="K31" s="246">
        <v>27</v>
      </c>
      <c r="L31" s="6">
        <v>77</v>
      </c>
      <c r="M31" s="54">
        <f t="shared" si="3"/>
        <v>0.35064935064935066</v>
      </c>
      <c r="N31" s="6" t="s">
        <v>58</v>
      </c>
      <c r="O31" s="40" t="s">
        <v>76</v>
      </c>
      <c r="P31" s="22" t="s">
        <v>12</v>
      </c>
      <c r="Q31" s="142"/>
    </row>
    <row r="32" spans="1:17">
      <c r="A32" s="244">
        <v>31</v>
      </c>
      <c r="B32" s="22" t="s">
        <v>341</v>
      </c>
      <c r="C32" s="6" t="s">
        <v>229</v>
      </c>
      <c r="D32" s="6" t="s">
        <v>198</v>
      </c>
      <c r="E32" s="241" t="s">
        <v>100</v>
      </c>
      <c r="F32" s="40" t="s">
        <v>154</v>
      </c>
      <c r="G32" s="245">
        <v>9</v>
      </c>
      <c r="H32" s="6">
        <v>9</v>
      </c>
      <c r="I32" s="14"/>
      <c r="J32" s="40" t="s">
        <v>127</v>
      </c>
      <c r="K32" s="246">
        <v>25</v>
      </c>
      <c r="L32" s="6">
        <v>77</v>
      </c>
      <c r="M32" s="54">
        <f t="shared" si="3"/>
        <v>0.32467532467532467</v>
      </c>
      <c r="N32" s="6" t="s">
        <v>58</v>
      </c>
      <c r="O32" s="40" t="s">
        <v>76</v>
      </c>
      <c r="P32" s="22" t="s">
        <v>12</v>
      </c>
      <c r="Q32" s="142"/>
    </row>
    <row r="33" spans="1:17">
      <c r="A33" s="244">
        <v>32</v>
      </c>
      <c r="B33" s="22" t="s">
        <v>342</v>
      </c>
      <c r="C33" s="6" t="s">
        <v>343</v>
      </c>
      <c r="D33" s="6" t="s">
        <v>344</v>
      </c>
      <c r="E33" s="241" t="s">
        <v>100</v>
      </c>
      <c r="F33" s="40" t="s">
        <v>154</v>
      </c>
      <c r="G33" s="245">
        <v>9</v>
      </c>
      <c r="H33" s="6">
        <v>9</v>
      </c>
      <c r="I33" s="14"/>
      <c r="J33" s="40" t="s">
        <v>127</v>
      </c>
      <c r="K33" s="246">
        <v>25</v>
      </c>
      <c r="L33" s="6">
        <v>77</v>
      </c>
      <c r="M33" s="54">
        <f t="shared" si="3"/>
        <v>0.32467532467532467</v>
      </c>
      <c r="N33" s="6" t="s">
        <v>58</v>
      </c>
      <c r="O33" s="40" t="s">
        <v>76</v>
      </c>
      <c r="P33" s="22" t="s">
        <v>12</v>
      </c>
      <c r="Q33" s="142"/>
    </row>
    <row r="34" spans="1:17">
      <c r="A34" s="244">
        <v>33</v>
      </c>
      <c r="B34" s="22" t="s">
        <v>345</v>
      </c>
      <c r="C34" s="6" t="s">
        <v>346</v>
      </c>
      <c r="D34" s="6" t="s">
        <v>347</v>
      </c>
      <c r="E34" s="241" t="s">
        <v>100</v>
      </c>
      <c r="F34" s="40" t="s">
        <v>154</v>
      </c>
      <c r="G34" s="6">
        <v>9</v>
      </c>
      <c r="H34" s="6">
        <v>9</v>
      </c>
      <c r="I34" s="14"/>
      <c r="J34" s="40" t="s">
        <v>127</v>
      </c>
      <c r="K34" s="246">
        <v>24</v>
      </c>
      <c r="L34" s="6">
        <v>77</v>
      </c>
      <c r="M34" s="54">
        <f t="shared" si="3"/>
        <v>0.31168831168831168</v>
      </c>
      <c r="N34" s="6" t="s">
        <v>58</v>
      </c>
      <c r="O34" s="40" t="s">
        <v>76</v>
      </c>
      <c r="P34" s="22" t="s">
        <v>12</v>
      </c>
      <c r="Q34" s="142"/>
    </row>
    <row r="35" spans="1:17">
      <c r="A35" s="244">
        <v>34</v>
      </c>
      <c r="B35" s="40" t="s">
        <v>330</v>
      </c>
      <c r="C35" s="40" t="s">
        <v>329</v>
      </c>
      <c r="D35" s="40" t="s">
        <v>328</v>
      </c>
      <c r="E35" s="244" t="s">
        <v>99</v>
      </c>
      <c r="F35" s="40" t="s">
        <v>154</v>
      </c>
      <c r="G35" s="185">
        <v>10</v>
      </c>
      <c r="H35" s="56">
        <v>10</v>
      </c>
      <c r="I35" s="40"/>
      <c r="J35" s="40" t="s">
        <v>127</v>
      </c>
      <c r="K35" s="240">
        <v>17</v>
      </c>
      <c r="L35" s="56">
        <v>47</v>
      </c>
      <c r="M35" s="54">
        <f t="shared" si="3"/>
        <v>0.36170212765957449</v>
      </c>
      <c r="N35" s="6" t="s">
        <v>58</v>
      </c>
      <c r="O35" s="40" t="s">
        <v>76</v>
      </c>
      <c r="P35" s="22" t="s">
        <v>12</v>
      </c>
      <c r="Q35" s="142"/>
    </row>
    <row r="36" spans="1:17">
      <c r="A36" s="244">
        <v>35</v>
      </c>
      <c r="B36" s="40" t="s">
        <v>327</v>
      </c>
      <c r="C36" s="40" t="s">
        <v>326</v>
      </c>
      <c r="D36" s="40" t="s">
        <v>216</v>
      </c>
      <c r="E36" s="244" t="s">
        <v>99</v>
      </c>
      <c r="F36" s="40" t="s">
        <v>154</v>
      </c>
      <c r="G36" s="185">
        <v>10</v>
      </c>
      <c r="H36" s="56">
        <v>10</v>
      </c>
      <c r="I36" s="40"/>
      <c r="J36" s="40" t="s">
        <v>127</v>
      </c>
      <c r="K36" s="240">
        <v>14</v>
      </c>
      <c r="L36" s="56">
        <v>47</v>
      </c>
      <c r="M36" s="54">
        <f t="shared" si="3"/>
        <v>0.2978723404255319</v>
      </c>
      <c r="N36" s="6" t="s">
        <v>58</v>
      </c>
      <c r="O36" s="40" t="s">
        <v>76</v>
      </c>
      <c r="P36" s="22" t="s">
        <v>12</v>
      </c>
      <c r="Q36" s="142"/>
    </row>
    <row r="37" spans="1:17">
      <c r="A37" s="244">
        <v>36</v>
      </c>
      <c r="B37" s="22" t="s">
        <v>325</v>
      </c>
      <c r="C37" s="40" t="s">
        <v>171</v>
      </c>
      <c r="D37" s="40" t="s">
        <v>223</v>
      </c>
      <c r="E37" s="244" t="s">
        <v>100</v>
      </c>
      <c r="F37" s="40" t="s">
        <v>154</v>
      </c>
      <c r="G37" s="185">
        <v>10</v>
      </c>
      <c r="H37" s="56">
        <v>10</v>
      </c>
      <c r="I37" s="40"/>
      <c r="J37" s="40" t="s">
        <v>127</v>
      </c>
      <c r="K37" s="240">
        <v>13</v>
      </c>
      <c r="L37" s="56">
        <v>47</v>
      </c>
      <c r="M37" s="54">
        <f t="shared" si="3"/>
        <v>0.27659574468085107</v>
      </c>
      <c r="N37" s="6" t="s">
        <v>58</v>
      </c>
      <c r="O37" s="40" t="s">
        <v>76</v>
      </c>
      <c r="P37" s="22" t="s">
        <v>12</v>
      </c>
      <c r="Q37" s="142"/>
    </row>
    <row r="38" spans="1:17">
      <c r="A38" s="244">
        <v>37</v>
      </c>
      <c r="B38" s="22" t="s">
        <v>324</v>
      </c>
      <c r="C38" s="40" t="s">
        <v>323</v>
      </c>
      <c r="D38" s="40" t="s">
        <v>223</v>
      </c>
      <c r="E38" s="244" t="s">
        <v>100</v>
      </c>
      <c r="F38" s="40" t="s">
        <v>154</v>
      </c>
      <c r="G38" s="185">
        <v>10</v>
      </c>
      <c r="H38" s="56">
        <v>10</v>
      </c>
      <c r="I38" s="40"/>
      <c r="J38" s="40" t="s">
        <v>127</v>
      </c>
      <c r="K38" s="240">
        <v>12</v>
      </c>
      <c r="L38" s="56">
        <v>47</v>
      </c>
      <c r="M38" s="54">
        <f t="shared" si="3"/>
        <v>0.25531914893617019</v>
      </c>
      <c r="N38" s="6" t="s">
        <v>58</v>
      </c>
      <c r="O38" s="40" t="s">
        <v>76</v>
      </c>
      <c r="P38" s="22" t="s">
        <v>12</v>
      </c>
      <c r="Q38" s="142"/>
    </row>
    <row r="39" spans="1:17">
      <c r="A39" s="244">
        <v>38</v>
      </c>
      <c r="B39" s="22" t="s">
        <v>322</v>
      </c>
      <c r="C39" s="40" t="s">
        <v>173</v>
      </c>
      <c r="D39" s="40" t="s">
        <v>210</v>
      </c>
      <c r="E39" s="244" t="s">
        <v>100</v>
      </c>
      <c r="F39" s="40" t="s">
        <v>154</v>
      </c>
      <c r="G39" s="185">
        <v>10</v>
      </c>
      <c r="H39" s="56">
        <v>10</v>
      </c>
      <c r="I39" s="40"/>
      <c r="J39" s="40" t="s">
        <v>127</v>
      </c>
      <c r="K39" s="240">
        <v>11.5</v>
      </c>
      <c r="L39" s="56">
        <v>47</v>
      </c>
      <c r="M39" s="54">
        <f t="shared" si="3"/>
        <v>0.24468085106382978</v>
      </c>
      <c r="N39" s="6" t="s">
        <v>58</v>
      </c>
      <c r="O39" s="40" t="s">
        <v>76</v>
      </c>
      <c r="P39" s="22" t="s">
        <v>12</v>
      </c>
      <c r="Q39" s="142"/>
    </row>
    <row r="40" spans="1:17">
      <c r="O40" s="172"/>
      <c r="P40" s="26"/>
    </row>
    <row r="41" spans="1:17">
      <c r="O41" s="172"/>
      <c r="P41" s="26"/>
    </row>
    <row r="42" spans="1:17">
      <c r="O42" s="172"/>
      <c r="P42" s="26"/>
    </row>
    <row r="43" spans="1:17">
      <c r="O43" s="172"/>
      <c r="P43" s="26"/>
    </row>
    <row r="44" spans="1:17">
      <c r="O44" s="172"/>
      <c r="P44" s="26"/>
    </row>
    <row r="45" spans="1:17">
      <c r="C45" s="77"/>
      <c r="D45" s="77"/>
      <c r="E45" s="83"/>
      <c r="F45" s="76"/>
      <c r="G45" s="77"/>
      <c r="H45" s="77"/>
      <c r="I45" s="84"/>
      <c r="J45" s="76"/>
      <c r="K45" s="84"/>
      <c r="L45" s="77"/>
      <c r="M45" s="85"/>
      <c r="N45" s="77"/>
      <c r="O45" s="172"/>
      <c r="P45" s="26"/>
    </row>
    <row r="46" spans="1:17">
      <c r="C46" s="77"/>
      <c r="D46" s="77"/>
      <c r="E46" s="83"/>
      <c r="F46" s="76"/>
      <c r="G46" s="77"/>
      <c r="H46" s="77"/>
      <c r="I46" s="84"/>
      <c r="J46" s="76"/>
      <c r="K46" s="84"/>
      <c r="L46" s="77"/>
      <c r="M46" s="85"/>
      <c r="N46" s="77"/>
      <c r="O46" s="172"/>
      <c r="P46" s="26"/>
    </row>
    <row r="47" spans="1:17">
      <c r="C47" s="77"/>
      <c r="D47" s="77"/>
      <c r="E47" s="83"/>
      <c r="F47" s="76"/>
      <c r="G47" s="77"/>
      <c r="H47" s="77"/>
      <c r="I47" s="84"/>
      <c r="J47" s="76"/>
      <c r="K47" s="84"/>
      <c r="L47" s="77"/>
      <c r="M47" s="85"/>
      <c r="N47" s="77"/>
      <c r="O47" s="172"/>
      <c r="P47" s="26"/>
    </row>
    <row r="48" spans="1:17">
      <c r="C48" s="77"/>
      <c r="D48" s="77"/>
      <c r="E48" s="83"/>
      <c r="F48" s="76"/>
      <c r="G48" s="77"/>
      <c r="H48" s="77"/>
      <c r="I48" s="84"/>
      <c r="J48" s="76"/>
      <c r="K48" s="84"/>
      <c r="L48" s="77"/>
      <c r="M48" s="85"/>
      <c r="N48" s="77"/>
      <c r="O48" s="172"/>
      <c r="P48" s="26"/>
    </row>
    <row r="49" spans="3:16">
      <c r="C49" s="77"/>
      <c r="D49" s="77"/>
      <c r="E49" s="83"/>
      <c r="F49" s="76"/>
      <c r="G49" s="77"/>
      <c r="H49" s="77"/>
      <c r="I49" s="84"/>
      <c r="J49" s="76"/>
      <c r="K49" s="84"/>
      <c r="L49" s="77"/>
      <c r="M49" s="85"/>
      <c r="N49" s="77"/>
      <c r="O49" s="172"/>
      <c r="P49" s="26"/>
    </row>
    <row r="50" spans="3:16">
      <c r="C50" s="77"/>
      <c r="D50" s="77"/>
      <c r="E50" s="83"/>
      <c r="F50" s="76"/>
      <c r="G50" s="77"/>
      <c r="H50" s="77"/>
      <c r="I50" s="84"/>
      <c r="J50" s="76"/>
      <c r="K50" s="84"/>
      <c r="L50" s="77"/>
      <c r="M50" s="85"/>
      <c r="N50" s="77"/>
      <c r="O50" s="172"/>
      <c r="P50" s="26"/>
    </row>
    <row r="51" spans="3:16">
      <c r="J51" s="76"/>
    </row>
    <row r="52" spans="3:16">
      <c r="J52" s="76"/>
    </row>
  </sheetData>
  <sheetProtection formatCells="0" sort="0" autoFilter="0" pivotTables="0"/>
  <autoFilter ref="A1:P10"/>
  <phoneticPr fontId="3" type="noConversion"/>
  <dataValidations count="6">
    <dataValidation type="list" allowBlank="1" showInputMessage="1" showErrorMessage="1" sqref="N45:N50 N2:N39">
      <formula1>Статус</formula1>
    </dataValidation>
    <dataValidation type="list" allowBlank="1" showInputMessage="1" showErrorMessage="1" sqref="E2:E39 E45:E50">
      <formula1>Пол</formula1>
    </dataValidation>
    <dataValidation type="list" allowBlank="1" showInputMessage="1" showErrorMessage="1" sqref="I2:I39 I45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45:F50 F2:F39">
      <formula1>ОУ</formula1>
    </dataValidation>
    <dataValidation type="list" allowBlank="1" showInputMessage="1" showErrorMessage="1" sqref="J45:J50 J2:J39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Q52"/>
  <sheetViews>
    <sheetView workbookViewId="0">
      <selection activeCell="E55" sqref="E55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52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5.42578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49" t="s">
        <v>4</v>
      </c>
      <c r="L1" s="49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>
      <c r="A2" s="244">
        <v>1</v>
      </c>
      <c r="B2" s="40" t="s">
        <v>352</v>
      </c>
      <c r="C2" s="40" t="s">
        <v>353</v>
      </c>
      <c r="D2" s="40" t="s">
        <v>175</v>
      </c>
      <c r="E2" s="244" t="s">
        <v>100</v>
      </c>
      <c r="F2" s="40" t="s">
        <v>154</v>
      </c>
      <c r="G2" s="185">
        <v>5</v>
      </c>
      <c r="H2" s="56">
        <v>5</v>
      </c>
      <c r="I2" s="40"/>
      <c r="J2" s="40" t="s">
        <v>127</v>
      </c>
      <c r="K2" s="240">
        <v>11</v>
      </c>
      <c r="L2" s="56">
        <v>30</v>
      </c>
      <c r="M2" s="4">
        <f t="shared" ref="M2:M48" si="0">K2/L2</f>
        <v>0.36666666666666664</v>
      </c>
      <c r="N2" s="40" t="s">
        <v>58</v>
      </c>
      <c r="O2" s="40" t="s">
        <v>76</v>
      </c>
      <c r="P2" s="22" t="s">
        <v>24</v>
      </c>
      <c r="Q2" s="142"/>
    </row>
    <row r="3" spans="1:17">
      <c r="A3" s="244">
        <v>2</v>
      </c>
      <c r="B3" s="40" t="s">
        <v>354</v>
      </c>
      <c r="C3" s="40" t="s">
        <v>171</v>
      </c>
      <c r="D3" s="40" t="s">
        <v>175</v>
      </c>
      <c r="E3" s="244" t="s">
        <v>100</v>
      </c>
      <c r="F3" s="40" t="s">
        <v>154</v>
      </c>
      <c r="G3" s="185">
        <v>5</v>
      </c>
      <c r="H3" s="56">
        <v>5</v>
      </c>
      <c r="I3" s="40"/>
      <c r="J3" s="40" t="s">
        <v>127</v>
      </c>
      <c r="K3" s="240">
        <v>11</v>
      </c>
      <c r="L3" s="56">
        <v>30</v>
      </c>
      <c r="M3" s="4">
        <f t="shared" si="0"/>
        <v>0.36666666666666664</v>
      </c>
      <c r="N3" s="40" t="s">
        <v>58</v>
      </c>
      <c r="O3" s="40" t="s">
        <v>76</v>
      </c>
      <c r="P3" s="22" t="s">
        <v>24</v>
      </c>
      <c r="Q3" s="142"/>
    </row>
    <row r="4" spans="1:17">
      <c r="A4" s="244">
        <v>3</v>
      </c>
      <c r="B4" s="22" t="s">
        <v>355</v>
      </c>
      <c r="C4" s="40" t="s">
        <v>356</v>
      </c>
      <c r="D4" s="40" t="s">
        <v>357</v>
      </c>
      <c r="E4" s="244" t="s">
        <v>99</v>
      </c>
      <c r="F4" s="40" t="s">
        <v>154</v>
      </c>
      <c r="G4" s="185">
        <v>6</v>
      </c>
      <c r="H4" s="56">
        <v>6</v>
      </c>
      <c r="I4" s="40"/>
      <c r="J4" s="40" t="s">
        <v>127</v>
      </c>
      <c r="K4" s="240">
        <v>12</v>
      </c>
      <c r="L4" s="56">
        <v>30</v>
      </c>
      <c r="M4" s="4">
        <f t="shared" si="0"/>
        <v>0.4</v>
      </c>
      <c r="N4" s="40" t="s">
        <v>58</v>
      </c>
      <c r="O4" s="40" t="s">
        <v>76</v>
      </c>
      <c r="P4" s="22" t="s">
        <v>24</v>
      </c>
      <c r="Q4" s="142"/>
    </row>
    <row r="5" spans="1:17">
      <c r="A5" s="244">
        <v>4</v>
      </c>
      <c r="B5" s="22" t="s">
        <v>358</v>
      </c>
      <c r="C5" s="40" t="s">
        <v>359</v>
      </c>
      <c r="D5" s="40" t="s">
        <v>357</v>
      </c>
      <c r="E5" s="244" t="s">
        <v>99</v>
      </c>
      <c r="F5" s="40" t="s">
        <v>154</v>
      </c>
      <c r="G5" s="185">
        <v>7</v>
      </c>
      <c r="H5" s="56">
        <v>7</v>
      </c>
      <c r="I5" s="40"/>
      <c r="J5" s="40" t="s">
        <v>127</v>
      </c>
      <c r="K5" s="240">
        <v>25</v>
      </c>
      <c r="L5" s="56">
        <v>50</v>
      </c>
      <c r="M5" s="4">
        <f t="shared" si="0"/>
        <v>0.5</v>
      </c>
      <c r="N5" s="40" t="s">
        <v>49</v>
      </c>
      <c r="O5" s="40" t="s">
        <v>76</v>
      </c>
      <c r="P5" s="22" t="s">
        <v>24</v>
      </c>
      <c r="Q5" s="142"/>
    </row>
    <row r="6" spans="1:17">
      <c r="A6" s="244">
        <v>5</v>
      </c>
      <c r="B6" s="22" t="s">
        <v>300</v>
      </c>
      <c r="C6" s="40" t="s">
        <v>171</v>
      </c>
      <c r="D6" s="40" t="s">
        <v>175</v>
      </c>
      <c r="E6" s="244" t="s">
        <v>100</v>
      </c>
      <c r="F6" s="40" t="s">
        <v>154</v>
      </c>
      <c r="G6" s="185">
        <v>7</v>
      </c>
      <c r="H6" s="56">
        <v>7</v>
      </c>
      <c r="I6" s="40"/>
      <c r="J6" s="40" t="s">
        <v>127</v>
      </c>
      <c r="K6" s="240">
        <v>20</v>
      </c>
      <c r="L6" s="56">
        <v>50</v>
      </c>
      <c r="M6" s="4">
        <f t="shared" si="0"/>
        <v>0.4</v>
      </c>
      <c r="N6" s="40" t="s">
        <v>50</v>
      </c>
      <c r="O6" s="40" t="s">
        <v>76</v>
      </c>
      <c r="P6" s="22" t="s">
        <v>24</v>
      </c>
      <c r="Q6" s="142"/>
    </row>
    <row r="7" spans="1:17">
      <c r="A7" s="244">
        <v>6</v>
      </c>
      <c r="B7" s="22" t="s">
        <v>360</v>
      </c>
      <c r="C7" s="40" t="s">
        <v>356</v>
      </c>
      <c r="D7" s="40" t="s">
        <v>361</v>
      </c>
      <c r="E7" s="244" t="s">
        <v>99</v>
      </c>
      <c r="F7" s="40" t="s">
        <v>154</v>
      </c>
      <c r="G7" s="185">
        <v>7</v>
      </c>
      <c r="H7" s="56">
        <v>7</v>
      </c>
      <c r="I7" s="40"/>
      <c r="J7" s="40" t="s">
        <v>127</v>
      </c>
      <c r="K7" s="240">
        <v>17</v>
      </c>
      <c r="L7" s="56">
        <v>50</v>
      </c>
      <c r="M7" s="4">
        <f t="shared" si="0"/>
        <v>0.34</v>
      </c>
      <c r="N7" s="40" t="s">
        <v>58</v>
      </c>
      <c r="O7" s="40" t="s">
        <v>76</v>
      </c>
      <c r="P7" s="22" t="s">
        <v>24</v>
      </c>
      <c r="Q7" s="142"/>
    </row>
    <row r="8" spans="1:17">
      <c r="A8" s="244">
        <v>7</v>
      </c>
      <c r="B8" s="22" t="s">
        <v>362</v>
      </c>
      <c r="C8" s="40" t="s">
        <v>289</v>
      </c>
      <c r="D8" s="40" t="s">
        <v>235</v>
      </c>
      <c r="E8" s="244" t="s">
        <v>100</v>
      </c>
      <c r="F8" s="40" t="s">
        <v>154</v>
      </c>
      <c r="G8" s="185">
        <v>7</v>
      </c>
      <c r="H8" s="56">
        <v>7</v>
      </c>
      <c r="I8" s="40"/>
      <c r="J8" s="40" t="s">
        <v>127</v>
      </c>
      <c r="K8" s="240">
        <v>16</v>
      </c>
      <c r="L8" s="56">
        <v>50</v>
      </c>
      <c r="M8" s="4">
        <f t="shared" si="0"/>
        <v>0.32</v>
      </c>
      <c r="N8" s="40" t="s">
        <v>58</v>
      </c>
      <c r="O8" s="40" t="s">
        <v>76</v>
      </c>
      <c r="P8" s="22" t="s">
        <v>24</v>
      </c>
      <c r="Q8" s="142"/>
    </row>
    <row r="9" spans="1:17">
      <c r="A9" s="244">
        <v>8</v>
      </c>
      <c r="B9" s="247" t="s">
        <v>363</v>
      </c>
      <c r="C9" s="40" t="s">
        <v>364</v>
      </c>
      <c r="D9" s="40" t="s">
        <v>365</v>
      </c>
      <c r="E9" s="244" t="s">
        <v>100</v>
      </c>
      <c r="F9" s="40" t="s">
        <v>154</v>
      </c>
      <c r="G9" s="185">
        <v>7</v>
      </c>
      <c r="H9" s="56">
        <v>7</v>
      </c>
      <c r="I9" s="40"/>
      <c r="J9" s="40" t="s">
        <v>127</v>
      </c>
      <c r="K9" s="240">
        <v>15</v>
      </c>
      <c r="L9" s="56">
        <v>50</v>
      </c>
      <c r="M9" s="4">
        <f t="shared" si="0"/>
        <v>0.3</v>
      </c>
      <c r="N9" s="40" t="s">
        <v>58</v>
      </c>
      <c r="O9" s="40" t="s">
        <v>76</v>
      </c>
      <c r="P9" s="22" t="s">
        <v>24</v>
      </c>
      <c r="Q9" s="142"/>
    </row>
    <row r="10" spans="1:17">
      <c r="A10" s="244">
        <v>9</v>
      </c>
      <c r="B10" s="22" t="s">
        <v>366</v>
      </c>
      <c r="C10" s="40" t="s">
        <v>367</v>
      </c>
      <c r="D10" s="40" t="s">
        <v>246</v>
      </c>
      <c r="E10" s="244" t="s">
        <v>99</v>
      </c>
      <c r="F10" s="40" t="s">
        <v>154</v>
      </c>
      <c r="G10" s="185">
        <v>7</v>
      </c>
      <c r="H10" s="56">
        <v>7</v>
      </c>
      <c r="I10" s="40"/>
      <c r="J10" s="40" t="s">
        <v>127</v>
      </c>
      <c r="K10" s="240">
        <v>14</v>
      </c>
      <c r="L10" s="56">
        <v>50</v>
      </c>
      <c r="M10" s="4">
        <f t="shared" si="0"/>
        <v>0.28000000000000003</v>
      </c>
      <c r="N10" s="40" t="s">
        <v>58</v>
      </c>
      <c r="O10" s="40" t="s">
        <v>76</v>
      </c>
      <c r="P10" s="22" t="s">
        <v>24</v>
      </c>
      <c r="Q10" s="142"/>
    </row>
    <row r="11" spans="1:17">
      <c r="A11" s="244">
        <v>10</v>
      </c>
      <c r="B11" s="22" t="s">
        <v>368</v>
      </c>
      <c r="C11" s="40" t="s">
        <v>369</v>
      </c>
      <c r="D11" s="40" t="s">
        <v>213</v>
      </c>
      <c r="E11" s="244" t="s">
        <v>99</v>
      </c>
      <c r="F11" s="40" t="s">
        <v>154</v>
      </c>
      <c r="G11" s="185">
        <v>7</v>
      </c>
      <c r="H11" s="56">
        <v>7</v>
      </c>
      <c r="I11" s="40"/>
      <c r="J11" s="40" t="s">
        <v>127</v>
      </c>
      <c r="K11" s="240">
        <v>12</v>
      </c>
      <c r="L11" s="56">
        <v>50</v>
      </c>
      <c r="M11" s="4">
        <f t="shared" si="0"/>
        <v>0.24</v>
      </c>
      <c r="N11" s="40" t="s">
        <v>58</v>
      </c>
      <c r="O11" s="40" t="s">
        <v>76</v>
      </c>
      <c r="P11" s="22" t="s">
        <v>24</v>
      </c>
      <c r="Q11" s="142"/>
    </row>
    <row r="12" spans="1:17">
      <c r="A12" s="244">
        <v>11</v>
      </c>
      <c r="B12" s="22" t="s">
        <v>370</v>
      </c>
      <c r="C12" s="40" t="s">
        <v>371</v>
      </c>
      <c r="D12" s="40" t="s">
        <v>372</v>
      </c>
      <c r="E12" s="244" t="s">
        <v>99</v>
      </c>
      <c r="F12" s="40" t="s">
        <v>154</v>
      </c>
      <c r="G12" s="185">
        <v>7</v>
      </c>
      <c r="H12" s="56">
        <v>7</v>
      </c>
      <c r="I12" s="40"/>
      <c r="J12" s="40" t="s">
        <v>127</v>
      </c>
      <c r="K12" s="240">
        <v>11</v>
      </c>
      <c r="L12" s="56">
        <v>50</v>
      </c>
      <c r="M12" s="4">
        <f t="shared" si="0"/>
        <v>0.22</v>
      </c>
      <c r="N12" s="40" t="s">
        <v>58</v>
      </c>
      <c r="O12" s="40" t="s">
        <v>76</v>
      </c>
      <c r="P12" s="22" t="s">
        <v>24</v>
      </c>
      <c r="Q12" s="142"/>
    </row>
    <row r="13" spans="1:17">
      <c r="A13" s="244">
        <v>12</v>
      </c>
      <c r="B13" s="22" t="s">
        <v>373</v>
      </c>
      <c r="C13" s="40" t="s">
        <v>227</v>
      </c>
      <c r="D13" s="40" t="s">
        <v>198</v>
      </c>
      <c r="E13" s="244" t="s">
        <v>100</v>
      </c>
      <c r="F13" s="40" t="s">
        <v>154</v>
      </c>
      <c r="G13" s="185">
        <v>7</v>
      </c>
      <c r="H13" s="56">
        <v>7</v>
      </c>
      <c r="I13" s="40"/>
      <c r="J13" s="40" t="s">
        <v>127</v>
      </c>
      <c r="K13" s="240">
        <v>7</v>
      </c>
      <c r="L13" s="56">
        <v>50</v>
      </c>
      <c r="M13" s="4">
        <f t="shared" si="0"/>
        <v>0.14000000000000001</v>
      </c>
      <c r="N13" s="40" t="s">
        <v>58</v>
      </c>
      <c r="O13" s="40" t="s">
        <v>76</v>
      </c>
      <c r="P13" s="22" t="s">
        <v>24</v>
      </c>
      <c r="Q13" s="142"/>
    </row>
    <row r="14" spans="1:17">
      <c r="A14" s="244">
        <v>13</v>
      </c>
      <c r="B14" s="22" t="s">
        <v>374</v>
      </c>
      <c r="C14" s="40" t="s">
        <v>297</v>
      </c>
      <c r="D14" s="40" t="s">
        <v>233</v>
      </c>
      <c r="E14" s="244" t="s">
        <v>100</v>
      </c>
      <c r="F14" s="40" t="s">
        <v>154</v>
      </c>
      <c r="G14" s="185">
        <v>7</v>
      </c>
      <c r="H14" s="56">
        <v>7</v>
      </c>
      <c r="I14" s="40"/>
      <c r="J14" s="40" t="s">
        <v>127</v>
      </c>
      <c r="K14" s="240">
        <v>5</v>
      </c>
      <c r="L14" s="56">
        <v>50</v>
      </c>
      <c r="M14" s="4">
        <f t="shared" si="0"/>
        <v>0.1</v>
      </c>
      <c r="N14" s="40" t="s">
        <v>58</v>
      </c>
      <c r="O14" s="40" t="s">
        <v>76</v>
      </c>
      <c r="P14" s="22" t="s">
        <v>24</v>
      </c>
      <c r="Q14" s="142"/>
    </row>
    <row r="15" spans="1:17">
      <c r="A15" s="244">
        <v>14</v>
      </c>
      <c r="B15" s="22" t="s">
        <v>375</v>
      </c>
      <c r="C15" s="40" t="s">
        <v>238</v>
      </c>
      <c r="D15" s="40" t="s">
        <v>198</v>
      </c>
      <c r="E15" s="244" t="s">
        <v>100</v>
      </c>
      <c r="F15" s="40" t="s">
        <v>154</v>
      </c>
      <c r="G15" s="185">
        <v>8</v>
      </c>
      <c r="H15" s="56">
        <v>8</v>
      </c>
      <c r="I15" s="40"/>
      <c r="J15" s="40" t="s">
        <v>127</v>
      </c>
      <c r="K15" s="240">
        <v>18</v>
      </c>
      <c r="L15" s="56">
        <v>60</v>
      </c>
      <c r="M15" s="4">
        <f t="shared" si="0"/>
        <v>0.3</v>
      </c>
      <c r="N15" s="40" t="s">
        <v>58</v>
      </c>
      <c r="O15" s="40" t="s">
        <v>76</v>
      </c>
      <c r="P15" s="22" t="s">
        <v>24</v>
      </c>
      <c r="Q15" s="142"/>
    </row>
    <row r="16" spans="1:17">
      <c r="A16" s="244">
        <v>15</v>
      </c>
      <c r="B16" s="6" t="s">
        <v>376</v>
      </c>
      <c r="C16" s="6" t="s">
        <v>377</v>
      </c>
      <c r="D16" s="6" t="s">
        <v>174</v>
      </c>
      <c r="E16" s="244" t="s">
        <v>100</v>
      </c>
      <c r="F16" s="40" t="s">
        <v>154</v>
      </c>
      <c r="G16" s="185">
        <v>8</v>
      </c>
      <c r="H16" s="56">
        <v>8</v>
      </c>
      <c r="I16" s="47"/>
      <c r="J16" s="40" t="s">
        <v>127</v>
      </c>
      <c r="K16" s="240">
        <v>15</v>
      </c>
      <c r="L16" s="56">
        <v>60</v>
      </c>
      <c r="M16" s="4">
        <f t="shared" si="0"/>
        <v>0.25</v>
      </c>
      <c r="N16" s="40" t="s">
        <v>58</v>
      </c>
      <c r="O16" s="40" t="s">
        <v>76</v>
      </c>
      <c r="P16" s="22" t="s">
        <v>24</v>
      </c>
      <c r="Q16" s="142"/>
    </row>
    <row r="17" spans="1:17">
      <c r="A17" s="244">
        <v>16</v>
      </c>
      <c r="B17" s="6" t="s">
        <v>378</v>
      </c>
      <c r="C17" s="6" t="s">
        <v>316</v>
      </c>
      <c r="D17" s="6" t="s">
        <v>175</v>
      </c>
      <c r="E17" s="244" t="s">
        <v>100</v>
      </c>
      <c r="F17" s="40" t="s">
        <v>154</v>
      </c>
      <c r="G17" s="185">
        <v>8</v>
      </c>
      <c r="H17" s="56">
        <v>8</v>
      </c>
      <c r="I17" s="47"/>
      <c r="J17" s="40" t="s">
        <v>127</v>
      </c>
      <c r="K17" s="240">
        <v>12</v>
      </c>
      <c r="L17" s="56">
        <v>60</v>
      </c>
      <c r="M17" s="4">
        <f t="shared" si="0"/>
        <v>0.2</v>
      </c>
      <c r="N17" s="40" t="s">
        <v>58</v>
      </c>
      <c r="O17" s="40" t="s">
        <v>76</v>
      </c>
      <c r="P17" s="22" t="s">
        <v>24</v>
      </c>
      <c r="Q17" s="142"/>
    </row>
    <row r="18" spans="1:17">
      <c r="A18" s="244">
        <v>17</v>
      </c>
      <c r="B18" s="6" t="s">
        <v>379</v>
      </c>
      <c r="C18" s="6" t="s">
        <v>380</v>
      </c>
      <c r="D18" s="6" t="s">
        <v>175</v>
      </c>
      <c r="E18" s="244" t="s">
        <v>100</v>
      </c>
      <c r="F18" s="40" t="s">
        <v>154</v>
      </c>
      <c r="G18" s="185">
        <v>8</v>
      </c>
      <c r="H18" s="56">
        <v>8</v>
      </c>
      <c r="I18" s="47"/>
      <c r="J18" s="40" t="s">
        <v>127</v>
      </c>
      <c r="K18" s="240">
        <v>11</v>
      </c>
      <c r="L18" s="56">
        <v>60</v>
      </c>
      <c r="M18" s="4">
        <f t="shared" si="0"/>
        <v>0.18333333333333332</v>
      </c>
      <c r="N18" s="40" t="s">
        <v>58</v>
      </c>
      <c r="O18" s="40" t="s">
        <v>76</v>
      </c>
      <c r="P18" s="22" t="s">
        <v>24</v>
      </c>
      <c r="Q18" s="142"/>
    </row>
    <row r="19" spans="1:17">
      <c r="A19" s="244">
        <v>18</v>
      </c>
      <c r="B19" s="121" t="s">
        <v>381</v>
      </c>
      <c r="C19" s="121" t="s">
        <v>382</v>
      </c>
      <c r="D19" s="121" t="s">
        <v>383</v>
      </c>
      <c r="E19" s="248" t="s">
        <v>99</v>
      </c>
      <c r="F19" s="40" t="s">
        <v>154</v>
      </c>
      <c r="G19" s="185">
        <v>8</v>
      </c>
      <c r="H19" s="56">
        <v>8</v>
      </c>
      <c r="I19" s="122"/>
      <c r="J19" s="40" t="s">
        <v>127</v>
      </c>
      <c r="K19" s="240">
        <v>10</v>
      </c>
      <c r="L19" s="56">
        <v>60</v>
      </c>
      <c r="M19" s="4">
        <f t="shared" si="0"/>
        <v>0.16666666666666666</v>
      </c>
      <c r="N19" s="40" t="s">
        <v>58</v>
      </c>
      <c r="O19" s="40" t="s">
        <v>76</v>
      </c>
      <c r="P19" s="108" t="s">
        <v>24</v>
      </c>
      <c r="Q19" s="142"/>
    </row>
    <row r="20" spans="1:17">
      <c r="A20" s="244">
        <v>19</v>
      </c>
      <c r="B20" s="6" t="s">
        <v>384</v>
      </c>
      <c r="C20" s="6" t="s">
        <v>385</v>
      </c>
      <c r="D20" s="6" t="s">
        <v>386</v>
      </c>
      <c r="E20" s="244" t="s">
        <v>100</v>
      </c>
      <c r="F20" s="40" t="s">
        <v>154</v>
      </c>
      <c r="G20" s="185">
        <v>8</v>
      </c>
      <c r="H20" s="56">
        <v>8</v>
      </c>
      <c r="I20" s="47"/>
      <c r="J20" s="40" t="s">
        <v>127</v>
      </c>
      <c r="K20" s="240">
        <v>10</v>
      </c>
      <c r="L20" s="56">
        <v>60</v>
      </c>
      <c r="M20" s="4">
        <f t="shared" si="0"/>
        <v>0.16666666666666666</v>
      </c>
      <c r="N20" s="40" t="s">
        <v>58</v>
      </c>
      <c r="O20" s="40" t="s">
        <v>76</v>
      </c>
      <c r="P20" s="22" t="s">
        <v>24</v>
      </c>
      <c r="Q20" s="142"/>
    </row>
    <row r="21" spans="1:17">
      <c r="A21" s="244">
        <v>20</v>
      </c>
      <c r="B21" s="121" t="s">
        <v>387</v>
      </c>
      <c r="C21" s="121" t="s">
        <v>388</v>
      </c>
      <c r="D21" s="121" t="s">
        <v>389</v>
      </c>
      <c r="E21" s="248" t="s">
        <v>99</v>
      </c>
      <c r="F21" s="40" t="s">
        <v>154</v>
      </c>
      <c r="G21" s="123">
        <v>9</v>
      </c>
      <c r="H21" s="125">
        <v>9</v>
      </c>
      <c r="I21" s="122"/>
      <c r="J21" s="40" t="s">
        <v>127</v>
      </c>
      <c r="K21" s="240">
        <v>30</v>
      </c>
      <c r="L21" s="56">
        <v>70</v>
      </c>
      <c r="M21" s="4">
        <f t="shared" si="0"/>
        <v>0.42857142857142855</v>
      </c>
      <c r="N21" s="3" t="s">
        <v>50</v>
      </c>
      <c r="O21" s="40" t="s">
        <v>76</v>
      </c>
      <c r="P21" s="22" t="s">
        <v>24</v>
      </c>
      <c r="Q21" s="142"/>
    </row>
    <row r="22" spans="1:17">
      <c r="A22" s="244">
        <v>21</v>
      </c>
      <c r="B22" s="121" t="s">
        <v>390</v>
      </c>
      <c r="C22" s="121" t="s">
        <v>391</v>
      </c>
      <c r="D22" s="121" t="s">
        <v>246</v>
      </c>
      <c r="E22" s="248" t="s">
        <v>99</v>
      </c>
      <c r="F22" s="40" t="s">
        <v>154</v>
      </c>
      <c r="G22" s="123">
        <v>9</v>
      </c>
      <c r="H22" s="125">
        <v>9</v>
      </c>
      <c r="I22" s="122"/>
      <c r="J22" s="40" t="s">
        <v>127</v>
      </c>
      <c r="K22" s="240">
        <v>23</v>
      </c>
      <c r="L22" s="56">
        <v>70</v>
      </c>
      <c r="M22" s="4">
        <f t="shared" si="0"/>
        <v>0.32857142857142857</v>
      </c>
      <c r="N22" s="3" t="s">
        <v>58</v>
      </c>
      <c r="O22" s="40" t="s">
        <v>76</v>
      </c>
      <c r="P22" s="22" t="s">
        <v>24</v>
      </c>
      <c r="Q22" s="142"/>
    </row>
    <row r="23" spans="1:17">
      <c r="A23" s="244">
        <v>22</v>
      </c>
      <c r="B23" s="121" t="s">
        <v>182</v>
      </c>
      <c r="C23" s="121" t="s">
        <v>238</v>
      </c>
      <c r="D23" s="121" t="s">
        <v>198</v>
      </c>
      <c r="E23" s="248" t="s">
        <v>100</v>
      </c>
      <c r="F23" s="40" t="s">
        <v>154</v>
      </c>
      <c r="G23" s="123">
        <v>9</v>
      </c>
      <c r="H23" s="125">
        <v>9</v>
      </c>
      <c r="I23" s="122"/>
      <c r="J23" s="40" t="s">
        <v>127</v>
      </c>
      <c r="K23" s="240">
        <v>19</v>
      </c>
      <c r="L23" s="56">
        <v>70</v>
      </c>
      <c r="M23" s="4">
        <f t="shared" si="0"/>
        <v>0.27142857142857141</v>
      </c>
      <c r="N23" s="3" t="s">
        <v>58</v>
      </c>
      <c r="O23" s="40" t="s">
        <v>76</v>
      </c>
      <c r="P23" s="22" t="s">
        <v>24</v>
      </c>
      <c r="Q23" s="142"/>
    </row>
    <row r="24" spans="1:17">
      <c r="A24" s="244">
        <v>23</v>
      </c>
      <c r="B24" s="121" t="s">
        <v>392</v>
      </c>
      <c r="C24" s="121" t="s">
        <v>173</v>
      </c>
      <c r="D24" s="121" t="s">
        <v>393</v>
      </c>
      <c r="E24" s="248" t="s">
        <v>100</v>
      </c>
      <c r="F24" s="40" t="s">
        <v>154</v>
      </c>
      <c r="G24" s="123">
        <v>9</v>
      </c>
      <c r="H24" s="125">
        <v>9</v>
      </c>
      <c r="I24" s="122"/>
      <c r="J24" s="40" t="s">
        <v>127</v>
      </c>
      <c r="K24" s="240">
        <v>17</v>
      </c>
      <c r="L24" s="56">
        <v>70</v>
      </c>
      <c r="M24" s="4">
        <f t="shared" si="0"/>
        <v>0.24285714285714285</v>
      </c>
      <c r="N24" s="3" t="s">
        <v>58</v>
      </c>
      <c r="O24" s="40" t="s">
        <v>76</v>
      </c>
      <c r="P24" s="22" t="s">
        <v>24</v>
      </c>
      <c r="Q24" s="142"/>
    </row>
    <row r="25" spans="1:17">
      <c r="A25" s="244">
        <v>24</v>
      </c>
      <c r="B25" s="121" t="s">
        <v>394</v>
      </c>
      <c r="C25" s="121" t="s">
        <v>320</v>
      </c>
      <c r="D25" s="121" t="s">
        <v>246</v>
      </c>
      <c r="E25" s="248" t="s">
        <v>99</v>
      </c>
      <c r="F25" s="40" t="s">
        <v>154</v>
      </c>
      <c r="G25" s="123">
        <v>9</v>
      </c>
      <c r="H25" s="125">
        <v>9</v>
      </c>
      <c r="I25" s="122"/>
      <c r="J25" s="40" t="s">
        <v>127</v>
      </c>
      <c r="K25" s="240">
        <v>17</v>
      </c>
      <c r="L25" s="56">
        <v>70</v>
      </c>
      <c r="M25" s="4">
        <f t="shared" si="0"/>
        <v>0.24285714285714285</v>
      </c>
      <c r="N25" s="3" t="s">
        <v>58</v>
      </c>
      <c r="O25" s="40" t="s">
        <v>76</v>
      </c>
      <c r="P25" s="22" t="s">
        <v>24</v>
      </c>
      <c r="Q25" s="142"/>
    </row>
    <row r="26" spans="1:17">
      <c r="A26" s="244">
        <v>25</v>
      </c>
      <c r="B26" s="121" t="s">
        <v>395</v>
      </c>
      <c r="C26" s="121" t="s">
        <v>204</v>
      </c>
      <c r="D26" s="121" t="s">
        <v>396</v>
      </c>
      <c r="E26" s="248" t="s">
        <v>100</v>
      </c>
      <c r="F26" s="40" t="s">
        <v>154</v>
      </c>
      <c r="G26" s="123">
        <v>9</v>
      </c>
      <c r="H26" s="125">
        <v>9</v>
      </c>
      <c r="I26" s="122"/>
      <c r="J26" s="40" t="s">
        <v>127</v>
      </c>
      <c r="K26" s="240">
        <v>17</v>
      </c>
      <c r="L26" s="56">
        <v>70</v>
      </c>
      <c r="M26" s="4">
        <f t="shared" si="0"/>
        <v>0.24285714285714285</v>
      </c>
      <c r="N26" s="3" t="s">
        <v>58</v>
      </c>
      <c r="O26" s="40" t="s">
        <v>76</v>
      </c>
      <c r="P26" s="22" t="s">
        <v>24</v>
      </c>
      <c r="Q26" s="142"/>
    </row>
    <row r="27" spans="1:17">
      <c r="A27" s="244">
        <v>26</v>
      </c>
      <c r="B27" s="121" t="s">
        <v>332</v>
      </c>
      <c r="C27" s="121" t="s">
        <v>333</v>
      </c>
      <c r="D27" s="121" t="s">
        <v>334</v>
      </c>
      <c r="E27" s="248" t="s">
        <v>99</v>
      </c>
      <c r="F27" s="40" t="s">
        <v>154</v>
      </c>
      <c r="G27" s="123">
        <v>9</v>
      </c>
      <c r="H27" s="125">
        <v>9</v>
      </c>
      <c r="I27" s="122"/>
      <c r="J27" s="40" t="s">
        <v>127</v>
      </c>
      <c r="K27" s="240">
        <v>16</v>
      </c>
      <c r="L27" s="56">
        <v>70</v>
      </c>
      <c r="M27" s="4">
        <f t="shared" si="0"/>
        <v>0.22857142857142856</v>
      </c>
      <c r="N27" s="3" t="s">
        <v>58</v>
      </c>
      <c r="O27" s="40" t="s">
        <v>76</v>
      </c>
      <c r="P27" s="22" t="s">
        <v>24</v>
      </c>
      <c r="Q27" s="142"/>
    </row>
    <row r="28" spans="1:17">
      <c r="A28" s="244">
        <v>27</v>
      </c>
      <c r="B28" s="121" t="s">
        <v>397</v>
      </c>
      <c r="C28" s="121" t="s">
        <v>287</v>
      </c>
      <c r="D28" s="121" t="s">
        <v>398</v>
      </c>
      <c r="E28" s="248" t="s">
        <v>99</v>
      </c>
      <c r="F28" s="40" t="s">
        <v>154</v>
      </c>
      <c r="G28" s="123">
        <v>9</v>
      </c>
      <c r="H28" s="125">
        <v>9</v>
      </c>
      <c r="I28" s="122"/>
      <c r="J28" s="40" t="s">
        <v>127</v>
      </c>
      <c r="K28" s="240">
        <v>16</v>
      </c>
      <c r="L28" s="56">
        <v>70</v>
      </c>
      <c r="M28" s="4">
        <f t="shared" si="0"/>
        <v>0.22857142857142856</v>
      </c>
      <c r="N28" s="3" t="s">
        <v>58</v>
      </c>
      <c r="O28" s="40" t="s">
        <v>76</v>
      </c>
      <c r="P28" s="22" t="s">
        <v>24</v>
      </c>
      <c r="Q28" s="142"/>
    </row>
    <row r="29" spans="1:17">
      <c r="A29" s="244">
        <v>28</v>
      </c>
      <c r="B29" s="121" t="s">
        <v>254</v>
      </c>
      <c r="C29" s="121" t="s">
        <v>255</v>
      </c>
      <c r="D29" s="121" t="s">
        <v>313</v>
      </c>
      <c r="E29" s="248" t="s">
        <v>100</v>
      </c>
      <c r="F29" s="40" t="s">
        <v>154</v>
      </c>
      <c r="G29" s="123">
        <v>9</v>
      </c>
      <c r="H29" s="125">
        <v>9</v>
      </c>
      <c r="I29" s="122"/>
      <c r="J29" s="40" t="s">
        <v>127</v>
      </c>
      <c r="K29" s="240">
        <v>15</v>
      </c>
      <c r="L29" s="56">
        <v>70</v>
      </c>
      <c r="M29" s="4">
        <f t="shared" si="0"/>
        <v>0.21428571428571427</v>
      </c>
      <c r="N29" s="3" t="s">
        <v>58</v>
      </c>
      <c r="O29" s="40" t="s">
        <v>76</v>
      </c>
      <c r="P29" s="22" t="s">
        <v>24</v>
      </c>
      <c r="Q29" s="142"/>
    </row>
    <row r="30" spans="1:17">
      <c r="A30" s="244">
        <v>29</v>
      </c>
      <c r="B30" s="121" t="s">
        <v>399</v>
      </c>
      <c r="C30" s="121" t="s">
        <v>400</v>
      </c>
      <c r="D30" s="121" t="s">
        <v>401</v>
      </c>
      <c r="E30" s="248" t="s">
        <v>100</v>
      </c>
      <c r="F30" s="40" t="s">
        <v>154</v>
      </c>
      <c r="G30" s="123">
        <v>9</v>
      </c>
      <c r="H30" s="125">
        <v>9</v>
      </c>
      <c r="I30" s="122"/>
      <c r="J30" s="40" t="s">
        <v>127</v>
      </c>
      <c r="K30" s="240">
        <v>10</v>
      </c>
      <c r="L30" s="56">
        <v>70</v>
      </c>
      <c r="M30" s="4">
        <f t="shared" si="0"/>
        <v>0.14285714285714285</v>
      </c>
      <c r="N30" s="3" t="s">
        <v>58</v>
      </c>
      <c r="O30" s="40" t="s">
        <v>76</v>
      </c>
      <c r="P30" s="22" t="s">
        <v>24</v>
      </c>
      <c r="Q30" s="142"/>
    </row>
    <row r="31" spans="1:17">
      <c r="A31" s="244">
        <v>30</v>
      </c>
      <c r="B31" s="121" t="s">
        <v>402</v>
      </c>
      <c r="C31" s="121" t="s">
        <v>403</v>
      </c>
      <c r="D31" s="121" t="s">
        <v>404</v>
      </c>
      <c r="E31" s="248" t="s">
        <v>99</v>
      </c>
      <c r="F31" s="40" t="s">
        <v>154</v>
      </c>
      <c r="G31" s="123">
        <v>9</v>
      </c>
      <c r="H31" s="125">
        <v>9</v>
      </c>
      <c r="I31" s="122"/>
      <c r="J31" s="40" t="s">
        <v>127</v>
      </c>
      <c r="K31" s="240">
        <v>9</v>
      </c>
      <c r="L31" s="56">
        <v>70</v>
      </c>
      <c r="M31" s="4">
        <f t="shared" si="0"/>
        <v>0.12857142857142856</v>
      </c>
      <c r="N31" s="3" t="s">
        <v>58</v>
      </c>
      <c r="O31" s="40" t="s">
        <v>76</v>
      </c>
      <c r="P31" s="22" t="s">
        <v>24</v>
      </c>
      <c r="Q31" s="142"/>
    </row>
    <row r="32" spans="1:17">
      <c r="A32" s="244">
        <v>31</v>
      </c>
      <c r="B32" s="121" t="s">
        <v>405</v>
      </c>
      <c r="C32" s="121" t="s">
        <v>192</v>
      </c>
      <c r="D32" s="121" t="s">
        <v>313</v>
      </c>
      <c r="E32" s="248" t="s">
        <v>100</v>
      </c>
      <c r="F32" s="40" t="s">
        <v>154</v>
      </c>
      <c r="G32" s="123">
        <v>9</v>
      </c>
      <c r="H32" s="125">
        <v>9</v>
      </c>
      <c r="I32" s="122"/>
      <c r="J32" s="40" t="s">
        <v>127</v>
      </c>
      <c r="K32" s="240">
        <v>6</v>
      </c>
      <c r="L32" s="56">
        <v>70</v>
      </c>
      <c r="M32" s="4">
        <f t="shared" si="0"/>
        <v>8.5714285714285715E-2</v>
      </c>
      <c r="N32" s="3" t="s">
        <v>58</v>
      </c>
      <c r="O32" s="40" t="s">
        <v>76</v>
      </c>
      <c r="P32" s="22" t="s">
        <v>24</v>
      </c>
      <c r="Q32" s="142"/>
    </row>
    <row r="33" spans="1:17">
      <c r="A33" s="244">
        <v>32</v>
      </c>
      <c r="B33" s="121" t="s">
        <v>406</v>
      </c>
      <c r="C33" s="121" t="s">
        <v>407</v>
      </c>
      <c r="D33" s="121" t="s">
        <v>246</v>
      </c>
      <c r="E33" s="248" t="s">
        <v>99</v>
      </c>
      <c r="F33" s="40" t="s">
        <v>154</v>
      </c>
      <c r="G33" s="123">
        <v>9</v>
      </c>
      <c r="H33" s="125">
        <v>9</v>
      </c>
      <c r="I33" s="122"/>
      <c r="J33" s="40" t="s">
        <v>127</v>
      </c>
      <c r="K33" s="240">
        <v>5</v>
      </c>
      <c r="L33" s="56">
        <v>70</v>
      </c>
      <c r="M33" s="4">
        <f t="shared" si="0"/>
        <v>7.1428571428571425E-2</v>
      </c>
      <c r="N33" s="3" t="s">
        <v>58</v>
      </c>
      <c r="O33" s="40" t="s">
        <v>76</v>
      </c>
      <c r="P33" s="22" t="s">
        <v>24</v>
      </c>
      <c r="Q33" s="142"/>
    </row>
    <row r="34" spans="1:17">
      <c r="A34" s="244">
        <v>33</v>
      </c>
      <c r="B34" s="121" t="s">
        <v>408</v>
      </c>
      <c r="C34" s="121" t="s">
        <v>409</v>
      </c>
      <c r="D34" s="121" t="s">
        <v>410</v>
      </c>
      <c r="E34" s="248" t="s">
        <v>99</v>
      </c>
      <c r="F34" s="40" t="s">
        <v>154</v>
      </c>
      <c r="G34" s="249">
        <v>10</v>
      </c>
      <c r="H34" s="250">
        <v>10</v>
      </c>
      <c r="I34" s="122"/>
      <c r="J34" s="40" t="s">
        <v>127</v>
      </c>
      <c r="K34" s="240">
        <v>37</v>
      </c>
      <c r="L34" s="56">
        <v>70</v>
      </c>
      <c r="M34" s="4">
        <f t="shared" si="0"/>
        <v>0.52857142857142858</v>
      </c>
      <c r="N34" s="3" t="s">
        <v>49</v>
      </c>
      <c r="O34" s="40" t="s">
        <v>76</v>
      </c>
      <c r="P34" s="22" t="s">
        <v>24</v>
      </c>
      <c r="Q34" s="142"/>
    </row>
    <row r="35" spans="1:17">
      <c r="A35" s="244">
        <v>34</v>
      </c>
      <c r="B35" s="121" t="s">
        <v>411</v>
      </c>
      <c r="C35" s="121" t="s">
        <v>323</v>
      </c>
      <c r="D35" s="121" t="s">
        <v>235</v>
      </c>
      <c r="E35" s="248" t="s">
        <v>100</v>
      </c>
      <c r="F35" s="40" t="s">
        <v>154</v>
      </c>
      <c r="G35" s="249">
        <v>10</v>
      </c>
      <c r="H35" s="250">
        <v>10</v>
      </c>
      <c r="I35" s="122"/>
      <c r="J35" s="40" t="s">
        <v>127</v>
      </c>
      <c r="K35" s="240">
        <v>32</v>
      </c>
      <c r="L35" s="56">
        <v>70</v>
      </c>
      <c r="M35" s="4">
        <f t="shared" si="0"/>
        <v>0.45714285714285713</v>
      </c>
      <c r="N35" s="3" t="s">
        <v>50</v>
      </c>
      <c r="O35" s="40" t="s">
        <v>76</v>
      </c>
      <c r="P35" s="22" t="s">
        <v>24</v>
      </c>
      <c r="Q35" s="142"/>
    </row>
    <row r="36" spans="1:17">
      <c r="A36" s="244">
        <v>35</v>
      </c>
      <c r="B36" s="121" t="s">
        <v>412</v>
      </c>
      <c r="C36" s="121" t="s">
        <v>413</v>
      </c>
      <c r="D36" s="121" t="s">
        <v>235</v>
      </c>
      <c r="E36" s="248" t="s">
        <v>100</v>
      </c>
      <c r="F36" s="40" t="s">
        <v>154</v>
      </c>
      <c r="G36" s="249">
        <v>10</v>
      </c>
      <c r="H36" s="250">
        <v>10</v>
      </c>
      <c r="I36" s="122"/>
      <c r="J36" s="40" t="s">
        <v>127</v>
      </c>
      <c r="K36" s="240">
        <v>29</v>
      </c>
      <c r="L36" s="56">
        <v>70</v>
      </c>
      <c r="M36" s="4">
        <f t="shared" si="0"/>
        <v>0.41428571428571431</v>
      </c>
      <c r="N36" s="3" t="s">
        <v>58</v>
      </c>
      <c r="O36" s="40" t="s">
        <v>76</v>
      </c>
      <c r="P36" s="22" t="s">
        <v>24</v>
      </c>
      <c r="Q36" s="142"/>
    </row>
    <row r="37" spans="1:17">
      <c r="A37" s="244">
        <v>36</v>
      </c>
      <c r="B37" s="121" t="s">
        <v>414</v>
      </c>
      <c r="C37" s="121" t="s">
        <v>171</v>
      </c>
      <c r="D37" s="121" t="s">
        <v>233</v>
      </c>
      <c r="E37" s="248" t="s">
        <v>100</v>
      </c>
      <c r="F37" s="40" t="s">
        <v>154</v>
      </c>
      <c r="G37" s="249">
        <v>10</v>
      </c>
      <c r="H37" s="250">
        <v>10</v>
      </c>
      <c r="I37" s="122"/>
      <c r="J37" s="40" t="s">
        <v>127</v>
      </c>
      <c r="K37" s="240">
        <v>28</v>
      </c>
      <c r="L37" s="56">
        <v>70</v>
      </c>
      <c r="M37" s="4">
        <f t="shared" si="0"/>
        <v>0.4</v>
      </c>
      <c r="N37" s="3" t="s">
        <v>58</v>
      </c>
      <c r="O37" s="40" t="s">
        <v>76</v>
      </c>
      <c r="P37" s="22" t="s">
        <v>24</v>
      </c>
      <c r="Q37" s="142"/>
    </row>
    <row r="38" spans="1:17">
      <c r="A38" s="244">
        <v>37</v>
      </c>
      <c r="B38" s="121" t="s">
        <v>415</v>
      </c>
      <c r="C38" s="121" t="s">
        <v>171</v>
      </c>
      <c r="D38" s="121" t="s">
        <v>313</v>
      </c>
      <c r="E38" s="248" t="s">
        <v>100</v>
      </c>
      <c r="F38" s="40" t="s">
        <v>154</v>
      </c>
      <c r="G38" s="249">
        <v>10</v>
      </c>
      <c r="H38" s="250">
        <v>10</v>
      </c>
      <c r="I38" s="122"/>
      <c r="J38" s="40" t="s">
        <v>127</v>
      </c>
      <c r="K38" s="240">
        <v>27</v>
      </c>
      <c r="L38" s="56">
        <v>70</v>
      </c>
      <c r="M38" s="4">
        <f t="shared" si="0"/>
        <v>0.38571428571428573</v>
      </c>
      <c r="N38" s="3" t="s">
        <v>58</v>
      </c>
      <c r="O38" s="40" t="s">
        <v>76</v>
      </c>
      <c r="P38" s="22" t="s">
        <v>24</v>
      </c>
      <c r="Q38" s="142"/>
    </row>
    <row r="39" spans="1:17">
      <c r="A39" s="244">
        <v>38</v>
      </c>
      <c r="B39" s="121" t="s">
        <v>416</v>
      </c>
      <c r="C39" s="121" t="s">
        <v>229</v>
      </c>
      <c r="D39" s="121" t="s">
        <v>240</v>
      </c>
      <c r="E39" s="248" t="s">
        <v>100</v>
      </c>
      <c r="F39" s="40" t="s">
        <v>154</v>
      </c>
      <c r="G39" s="249">
        <v>10</v>
      </c>
      <c r="H39" s="250">
        <v>10</v>
      </c>
      <c r="I39" s="122"/>
      <c r="J39" s="40" t="s">
        <v>127</v>
      </c>
      <c r="K39" s="240">
        <v>26.5</v>
      </c>
      <c r="L39" s="56">
        <v>70</v>
      </c>
      <c r="M39" s="4">
        <f t="shared" si="0"/>
        <v>0.37857142857142856</v>
      </c>
      <c r="N39" s="3" t="s">
        <v>58</v>
      </c>
      <c r="O39" s="40" t="s">
        <v>76</v>
      </c>
      <c r="P39" s="22" t="s">
        <v>24</v>
      </c>
      <c r="Q39" s="142"/>
    </row>
    <row r="40" spans="1:17">
      <c r="A40" s="244">
        <v>39</v>
      </c>
      <c r="B40" s="121" t="s">
        <v>417</v>
      </c>
      <c r="C40" s="121" t="s">
        <v>380</v>
      </c>
      <c r="D40" s="121" t="s">
        <v>418</v>
      </c>
      <c r="E40" s="248" t="s">
        <v>100</v>
      </c>
      <c r="F40" s="40" t="s">
        <v>154</v>
      </c>
      <c r="G40" s="249">
        <v>10</v>
      </c>
      <c r="H40" s="250">
        <v>10</v>
      </c>
      <c r="I40" s="122"/>
      <c r="J40" s="40" t="s">
        <v>127</v>
      </c>
      <c r="K40" s="240">
        <v>24</v>
      </c>
      <c r="L40" s="56">
        <v>70</v>
      </c>
      <c r="M40" s="4">
        <f t="shared" si="0"/>
        <v>0.34285714285714286</v>
      </c>
      <c r="N40" s="3" t="s">
        <v>58</v>
      </c>
      <c r="O40" s="40" t="s">
        <v>76</v>
      </c>
      <c r="P40" s="22" t="s">
        <v>24</v>
      </c>
      <c r="Q40" s="142"/>
    </row>
    <row r="41" spans="1:17">
      <c r="A41" s="244">
        <v>40</v>
      </c>
      <c r="B41" s="121" t="s">
        <v>419</v>
      </c>
      <c r="C41" s="121" t="s">
        <v>420</v>
      </c>
      <c r="D41" s="121" t="s">
        <v>175</v>
      </c>
      <c r="E41" s="248" t="s">
        <v>100</v>
      </c>
      <c r="F41" s="40" t="s">
        <v>154</v>
      </c>
      <c r="G41" s="249">
        <v>10</v>
      </c>
      <c r="H41" s="250">
        <v>10</v>
      </c>
      <c r="I41" s="122"/>
      <c r="J41" s="40" t="s">
        <v>127</v>
      </c>
      <c r="K41" s="240">
        <v>23</v>
      </c>
      <c r="L41" s="56">
        <v>70</v>
      </c>
      <c r="M41" s="4">
        <f t="shared" si="0"/>
        <v>0.32857142857142857</v>
      </c>
      <c r="N41" s="3" t="s">
        <v>58</v>
      </c>
      <c r="O41" s="40" t="s">
        <v>76</v>
      </c>
      <c r="P41" s="22" t="s">
        <v>24</v>
      </c>
      <c r="Q41" s="142"/>
    </row>
    <row r="42" spans="1:17">
      <c r="A42" s="244">
        <v>41</v>
      </c>
      <c r="B42" s="121" t="s">
        <v>421</v>
      </c>
      <c r="C42" s="121" t="s">
        <v>422</v>
      </c>
      <c r="D42" s="121" t="s">
        <v>423</v>
      </c>
      <c r="E42" s="248" t="s">
        <v>100</v>
      </c>
      <c r="F42" s="40" t="s">
        <v>154</v>
      </c>
      <c r="G42" s="249">
        <v>10</v>
      </c>
      <c r="H42" s="250">
        <v>10</v>
      </c>
      <c r="I42" s="122"/>
      <c r="J42" s="40" t="s">
        <v>127</v>
      </c>
      <c r="K42" s="240">
        <v>22</v>
      </c>
      <c r="L42" s="56">
        <v>70</v>
      </c>
      <c r="M42" s="4">
        <f t="shared" si="0"/>
        <v>0.31428571428571428</v>
      </c>
      <c r="N42" s="3" t="s">
        <v>58</v>
      </c>
      <c r="O42" s="40" t="s">
        <v>76</v>
      </c>
      <c r="P42" s="22" t="s">
        <v>24</v>
      </c>
      <c r="Q42" s="142"/>
    </row>
    <row r="43" spans="1:17">
      <c r="A43" s="244">
        <v>42</v>
      </c>
      <c r="B43" s="121" t="s">
        <v>424</v>
      </c>
      <c r="C43" s="121" t="s">
        <v>425</v>
      </c>
      <c r="D43" s="121" t="s">
        <v>426</v>
      </c>
      <c r="E43" s="248" t="s">
        <v>100</v>
      </c>
      <c r="F43" s="40" t="s">
        <v>154</v>
      </c>
      <c r="G43" s="249">
        <v>10</v>
      </c>
      <c r="H43" s="250">
        <v>10</v>
      </c>
      <c r="I43" s="122"/>
      <c r="J43" s="40" t="s">
        <v>127</v>
      </c>
      <c r="K43" s="240">
        <v>19</v>
      </c>
      <c r="L43" s="56">
        <v>70</v>
      </c>
      <c r="M43" s="4">
        <f t="shared" si="0"/>
        <v>0.27142857142857141</v>
      </c>
      <c r="N43" s="3" t="s">
        <v>58</v>
      </c>
      <c r="O43" s="40" t="s">
        <v>76</v>
      </c>
      <c r="P43" s="22" t="s">
        <v>24</v>
      </c>
      <c r="Q43" s="142"/>
    </row>
    <row r="44" spans="1:17">
      <c r="A44" s="244">
        <v>43</v>
      </c>
      <c r="B44" s="121" t="s">
        <v>427</v>
      </c>
      <c r="C44" s="121" t="s">
        <v>274</v>
      </c>
      <c r="D44" s="121" t="s">
        <v>181</v>
      </c>
      <c r="E44" s="248" t="s">
        <v>99</v>
      </c>
      <c r="F44" s="40" t="s">
        <v>154</v>
      </c>
      <c r="G44" s="249">
        <v>11</v>
      </c>
      <c r="H44" s="250">
        <v>11</v>
      </c>
      <c r="I44" s="122"/>
      <c r="J44" s="40" t="s">
        <v>127</v>
      </c>
      <c r="K44" s="240">
        <v>57</v>
      </c>
      <c r="L44" s="56">
        <v>70</v>
      </c>
      <c r="M44" s="4">
        <f t="shared" si="0"/>
        <v>0.81428571428571428</v>
      </c>
      <c r="N44" s="3" t="s">
        <v>49</v>
      </c>
      <c r="O44" s="40" t="s">
        <v>76</v>
      </c>
      <c r="P44" s="22" t="s">
        <v>24</v>
      </c>
      <c r="Q44" s="142"/>
    </row>
    <row r="45" spans="1:17">
      <c r="A45" s="244">
        <v>44</v>
      </c>
      <c r="B45" s="6" t="s">
        <v>428</v>
      </c>
      <c r="C45" s="6" t="s">
        <v>429</v>
      </c>
      <c r="D45" s="6" t="s">
        <v>216</v>
      </c>
      <c r="E45" s="244" t="s">
        <v>99</v>
      </c>
      <c r="F45" s="40" t="s">
        <v>154</v>
      </c>
      <c r="G45" s="249">
        <v>11</v>
      </c>
      <c r="H45" s="250">
        <v>11</v>
      </c>
      <c r="I45" s="47"/>
      <c r="J45" s="40" t="s">
        <v>127</v>
      </c>
      <c r="K45" s="240">
        <v>45</v>
      </c>
      <c r="L45" s="56">
        <v>70</v>
      </c>
      <c r="M45" s="4">
        <f t="shared" si="0"/>
        <v>0.6428571428571429</v>
      </c>
      <c r="N45" s="3" t="s">
        <v>50</v>
      </c>
      <c r="O45" s="40" t="s">
        <v>76</v>
      </c>
      <c r="P45" s="22" t="s">
        <v>24</v>
      </c>
      <c r="Q45" s="142"/>
    </row>
    <row r="46" spans="1:17">
      <c r="A46" s="244">
        <v>45</v>
      </c>
      <c r="B46" s="121" t="s">
        <v>349</v>
      </c>
      <c r="C46" s="121" t="s">
        <v>350</v>
      </c>
      <c r="D46" s="121" t="s">
        <v>216</v>
      </c>
      <c r="E46" s="248" t="s">
        <v>99</v>
      </c>
      <c r="F46" s="40" t="s">
        <v>154</v>
      </c>
      <c r="G46" s="249">
        <v>11</v>
      </c>
      <c r="H46" s="250">
        <v>11</v>
      </c>
      <c r="I46" s="122"/>
      <c r="J46" s="40" t="s">
        <v>127</v>
      </c>
      <c r="K46" s="240">
        <v>35</v>
      </c>
      <c r="L46" s="56">
        <v>70</v>
      </c>
      <c r="M46" s="4">
        <f t="shared" si="0"/>
        <v>0.5</v>
      </c>
      <c r="N46" s="3" t="s">
        <v>58</v>
      </c>
      <c r="O46" s="40" t="s">
        <v>76</v>
      </c>
      <c r="P46" s="22" t="s">
        <v>24</v>
      </c>
      <c r="Q46" s="142"/>
    </row>
    <row r="47" spans="1:17">
      <c r="A47" s="244">
        <v>46</v>
      </c>
      <c r="B47" s="121" t="s">
        <v>430</v>
      </c>
      <c r="C47" s="121" t="s">
        <v>431</v>
      </c>
      <c r="D47" s="121" t="s">
        <v>246</v>
      </c>
      <c r="E47" s="248" t="s">
        <v>99</v>
      </c>
      <c r="F47" s="40" t="s">
        <v>154</v>
      </c>
      <c r="G47" s="249">
        <v>11</v>
      </c>
      <c r="H47" s="250">
        <v>11</v>
      </c>
      <c r="I47" s="122"/>
      <c r="J47" s="40" t="s">
        <v>127</v>
      </c>
      <c r="K47" s="240">
        <v>27</v>
      </c>
      <c r="L47" s="56">
        <v>70</v>
      </c>
      <c r="M47" s="4">
        <f t="shared" si="0"/>
        <v>0.38571428571428573</v>
      </c>
      <c r="N47" s="3" t="s">
        <v>58</v>
      </c>
      <c r="O47" s="40" t="s">
        <v>76</v>
      </c>
      <c r="P47" s="22" t="s">
        <v>24</v>
      </c>
      <c r="Q47" s="142"/>
    </row>
    <row r="48" spans="1:17">
      <c r="A48" s="244">
        <v>47</v>
      </c>
      <c r="B48" s="121" t="s">
        <v>432</v>
      </c>
      <c r="C48" s="121" t="s">
        <v>350</v>
      </c>
      <c r="D48" s="121" t="s">
        <v>433</v>
      </c>
      <c r="E48" s="248" t="s">
        <v>99</v>
      </c>
      <c r="F48" s="103" t="s">
        <v>154</v>
      </c>
      <c r="G48" s="249">
        <v>11</v>
      </c>
      <c r="H48" s="250">
        <v>11</v>
      </c>
      <c r="I48" s="122"/>
      <c r="J48" s="103" t="s">
        <v>127</v>
      </c>
      <c r="K48" s="251">
        <v>20</v>
      </c>
      <c r="L48" s="56">
        <v>70</v>
      </c>
      <c r="M48" s="4">
        <f t="shared" si="0"/>
        <v>0.2857142857142857</v>
      </c>
      <c r="N48" s="3" t="s">
        <v>58</v>
      </c>
      <c r="O48" s="40" t="s">
        <v>76</v>
      </c>
      <c r="P48" s="22" t="s">
        <v>24</v>
      </c>
      <c r="Q48" s="142"/>
    </row>
    <row r="49" spans="1:17">
      <c r="A49" s="244">
        <v>48</v>
      </c>
      <c r="B49" s="22" t="s">
        <v>172</v>
      </c>
      <c r="C49" s="6" t="s">
        <v>173</v>
      </c>
      <c r="D49" s="6" t="s">
        <v>174</v>
      </c>
      <c r="E49" s="56" t="s">
        <v>100</v>
      </c>
      <c r="F49" s="40" t="s">
        <v>154</v>
      </c>
      <c r="G49" s="245">
        <v>11</v>
      </c>
      <c r="H49" s="245">
        <v>11</v>
      </c>
      <c r="I49" s="5"/>
      <c r="J49" s="40" t="s">
        <v>127</v>
      </c>
      <c r="K49" s="5">
        <v>19</v>
      </c>
      <c r="L49" s="56">
        <v>70</v>
      </c>
      <c r="M49" s="4">
        <f t="shared" ref="M49" si="1">K49/L49</f>
        <v>0.27142857142857141</v>
      </c>
      <c r="N49" s="3" t="s">
        <v>58</v>
      </c>
      <c r="O49" s="40" t="s">
        <v>76</v>
      </c>
      <c r="P49" s="22" t="s">
        <v>24</v>
      </c>
      <c r="Q49" s="142"/>
    </row>
    <row r="50" spans="1:17">
      <c r="A50" s="22">
        <v>49</v>
      </c>
      <c r="B50" s="22" t="s">
        <v>434</v>
      </c>
      <c r="C50" s="6" t="s">
        <v>215</v>
      </c>
      <c r="D50" s="6" t="s">
        <v>357</v>
      </c>
      <c r="E50" s="56" t="s">
        <v>99</v>
      </c>
      <c r="F50" s="40" t="s">
        <v>154</v>
      </c>
      <c r="G50" s="245">
        <v>11</v>
      </c>
      <c r="H50" s="245">
        <v>11</v>
      </c>
      <c r="I50" s="5"/>
      <c r="J50" s="40" t="s">
        <v>127</v>
      </c>
      <c r="K50" s="5">
        <v>19</v>
      </c>
      <c r="L50" s="56">
        <v>70</v>
      </c>
      <c r="M50" s="4">
        <f t="shared" ref="M50" si="2">K50/L50</f>
        <v>0.27142857142857141</v>
      </c>
      <c r="N50" s="3" t="s">
        <v>58</v>
      </c>
      <c r="O50" s="40" t="s">
        <v>76</v>
      </c>
      <c r="P50" s="22" t="s">
        <v>24</v>
      </c>
      <c r="Q50" s="142"/>
    </row>
    <row r="51" spans="1:17">
      <c r="J51" s="76"/>
    </row>
    <row r="52" spans="1:17">
      <c r="J52" s="76"/>
    </row>
  </sheetData>
  <sheetProtection formatCell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1:Q52"/>
  <sheetViews>
    <sheetView workbookViewId="0">
      <selection activeCell="F11" sqref="F11"/>
    </sheetView>
  </sheetViews>
  <sheetFormatPr defaultRowHeight="12.75"/>
  <cols>
    <col min="1" max="1" width="6.28515625" style="20" customWidth="1"/>
    <col min="2" max="2" width="16.7109375" style="20" customWidth="1"/>
    <col min="3" max="4" width="16.85546875" style="20" customWidth="1"/>
    <col min="5" max="5" width="8.7109375" style="20" customWidth="1"/>
    <col min="6" max="6" width="21.5703125" style="24" customWidth="1"/>
    <col min="7" max="7" width="6.85546875" style="24" customWidth="1"/>
    <col min="8" max="8" width="12.5703125" style="24" customWidth="1"/>
    <col min="9" max="9" width="21.28515625" style="24" customWidth="1"/>
    <col min="10" max="10" width="18.28515625" style="24" customWidth="1"/>
    <col min="11" max="11" width="7.42578125" style="24" customWidth="1"/>
    <col min="12" max="12" width="9.7109375" style="24" customWidth="1"/>
    <col min="13" max="13" width="10.5703125" style="24" customWidth="1"/>
    <col min="14" max="14" width="12" style="25" customWidth="1"/>
    <col min="15" max="15" width="14.140625" style="20" customWidth="1"/>
    <col min="16" max="16" width="12.5703125" style="20" customWidth="1"/>
    <col min="17" max="17" width="24.140625" style="20" customWidth="1"/>
    <col min="18" max="16384" width="9.140625" style="20"/>
  </cols>
  <sheetData>
    <row r="1" spans="1:17" s="19" customFormat="1" ht="63.75" customHeight="1">
      <c r="A1" s="16" t="s">
        <v>8</v>
      </c>
      <c r="B1" s="16" t="s">
        <v>0</v>
      </c>
      <c r="C1" s="16" t="s">
        <v>1</v>
      </c>
      <c r="D1" s="16" t="s">
        <v>2</v>
      </c>
      <c r="E1" s="16" t="s">
        <v>85</v>
      </c>
      <c r="F1" s="17" t="s">
        <v>98</v>
      </c>
      <c r="G1" s="16" t="s">
        <v>3</v>
      </c>
      <c r="H1" s="16" t="s">
        <v>106</v>
      </c>
      <c r="I1" s="16" t="s">
        <v>26</v>
      </c>
      <c r="J1" s="16" t="s">
        <v>125</v>
      </c>
      <c r="K1" s="16" t="s">
        <v>4</v>
      </c>
      <c r="L1" s="18" t="s">
        <v>5</v>
      </c>
      <c r="M1" s="18" t="s">
        <v>6</v>
      </c>
      <c r="N1" s="37" t="s">
        <v>7</v>
      </c>
      <c r="O1" s="16" t="s">
        <v>105</v>
      </c>
      <c r="P1" s="16" t="s">
        <v>54</v>
      </c>
      <c r="Q1" s="16" t="s">
        <v>107</v>
      </c>
    </row>
    <row r="2" spans="1:17" ht="12.75" customHeight="1">
      <c r="A2" s="43">
        <v>1</v>
      </c>
      <c r="B2" s="40" t="s">
        <v>368</v>
      </c>
      <c r="C2" s="40" t="s">
        <v>538</v>
      </c>
      <c r="D2" s="40" t="s">
        <v>213</v>
      </c>
      <c r="E2" s="43" t="s">
        <v>99</v>
      </c>
      <c r="F2" s="40" t="s">
        <v>154</v>
      </c>
      <c r="G2" s="184">
        <v>7</v>
      </c>
      <c r="H2" s="40">
        <v>7</v>
      </c>
      <c r="I2" s="40"/>
      <c r="J2" s="40" t="s">
        <v>127</v>
      </c>
      <c r="K2" s="173">
        <v>17</v>
      </c>
      <c r="L2" s="40">
        <v>50</v>
      </c>
      <c r="M2" s="4">
        <f t="shared" ref="M2:M20" si="0">K2/L2</f>
        <v>0.34</v>
      </c>
      <c r="N2" s="40" t="s">
        <v>58</v>
      </c>
      <c r="O2" s="40" t="s">
        <v>76</v>
      </c>
      <c r="P2" s="22" t="s">
        <v>56</v>
      </c>
      <c r="Q2" s="142"/>
    </row>
    <row r="3" spans="1:17">
      <c r="A3" s="43">
        <v>2</v>
      </c>
      <c r="B3" s="40" t="s">
        <v>442</v>
      </c>
      <c r="C3" s="40" t="s">
        <v>711</v>
      </c>
      <c r="D3" s="40" t="s">
        <v>357</v>
      </c>
      <c r="E3" s="43" t="s">
        <v>99</v>
      </c>
      <c r="F3" s="40" t="s">
        <v>154</v>
      </c>
      <c r="G3" s="184">
        <v>7</v>
      </c>
      <c r="H3" s="40">
        <v>7</v>
      </c>
      <c r="I3" s="40"/>
      <c r="J3" s="40" t="s">
        <v>127</v>
      </c>
      <c r="K3" s="173">
        <v>14</v>
      </c>
      <c r="L3" s="40">
        <v>50</v>
      </c>
      <c r="M3" s="4">
        <f t="shared" si="0"/>
        <v>0.28000000000000003</v>
      </c>
      <c r="N3" s="40" t="s">
        <v>58</v>
      </c>
      <c r="O3" s="40" t="s">
        <v>76</v>
      </c>
      <c r="P3" s="22" t="s">
        <v>56</v>
      </c>
      <c r="Q3" s="142"/>
    </row>
    <row r="4" spans="1:17" ht="12.75" customHeight="1">
      <c r="A4" s="43">
        <v>3</v>
      </c>
      <c r="B4" s="22" t="s">
        <v>462</v>
      </c>
      <c r="C4" s="40" t="s">
        <v>284</v>
      </c>
      <c r="D4" s="40" t="s">
        <v>283</v>
      </c>
      <c r="E4" s="43" t="s">
        <v>99</v>
      </c>
      <c r="F4" s="40" t="s">
        <v>154</v>
      </c>
      <c r="G4" s="184">
        <v>7</v>
      </c>
      <c r="H4" s="40">
        <v>7</v>
      </c>
      <c r="I4" s="40"/>
      <c r="J4" s="40" t="s">
        <v>127</v>
      </c>
      <c r="K4" s="173">
        <v>12</v>
      </c>
      <c r="L4" s="40">
        <v>50</v>
      </c>
      <c r="M4" s="4">
        <f t="shared" si="0"/>
        <v>0.24</v>
      </c>
      <c r="N4" s="40" t="s">
        <v>58</v>
      </c>
      <c r="O4" s="40" t="s">
        <v>76</v>
      </c>
      <c r="P4" s="22" t="s">
        <v>56</v>
      </c>
      <c r="Q4" s="142"/>
    </row>
    <row r="5" spans="1:17" ht="12.75" customHeight="1">
      <c r="A5" s="43">
        <v>4</v>
      </c>
      <c r="B5" s="22" t="s">
        <v>463</v>
      </c>
      <c r="C5" s="40" t="s">
        <v>301</v>
      </c>
      <c r="D5" s="40" t="s">
        <v>186</v>
      </c>
      <c r="E5" s="43" t="s">
        <v>99</v>
      </c>
      <c r="F5" s="40" t="s">
        <v>154</v>
      </c>
      <c r="G5" s="184">
        <v>8</v>
      </c>
      <c r="H5" s="40">
        <v>8</v>
      </c>
      <c r="I5" s="40"/>
      <c r="J5" s="40" t="s">
        <v>127</v>
      </c>
      <c r="K5" s="173">
        <v>19</v>
      </c>
      <c r="L5" s="40">
        <v>50</v>
      </c>
      <c r="M5" s="4">
        <f t="shared" si="0"/>
        <v>0.38</v>
      </c>
      <c r="N5" s="40" t="s">
        <v>58</v>
      </c>
      <c r="O5" s="40" t="s">
        <v>76</v>
      </c>
      <c r="P5" s="22" t="s">
        <v>56</v>
      </c>
      <c r="Q5" s="142"/>
    </row>
    <row r="6" spans="1:17">
      <c r="A6" s="43">
        <v>5</v>
      </c>
      <c r="B6" s="22" t="s">
        <v>464</v>
      </c>
      <c r="C6" s="40" t="s">
        <v>274</v>
      </c>
      <c r="D6" s="40" t="s">
        <v>319</v>
      </c>
      <c r="E6" s="43" t="s">
        <v>99</v>
      </c>
      <c r="F6" s="40" t="s">
        <v>154</v>
      </c>
      <c r="G6" s="184">
        <v>8</v>
      </c>
      <c r="H6" s="40">
        <v>8</v>
      </c>
      <c r="I6" s="40"/>
      <c r="J6" s="40" t="s">
        <v>127</v>
      </c>
      <c r="K6" s="173">
        <v>17</v>
      </c>
      <c r="L6" s="40">
        <v>50</v>
      </c>
      <c r="M6" s="4">
        <f t="shared" si="0"/>
        <v>0.34</v>
      </c>
      <c r="N6" s="40" t="s">
        <v>58</v>
      </c>
      <c r="O6" s="40" t="s">
        <v>76</v>
      </c>
      <c r="P6" s="22" t="s">
        <v>56</v>
      </c>
      <c r="Q6" s="142"/>
    </row>
    <row r="7" spans="1:17">
      <c r="A7" s="174"/>
      <c r="B7" s="22"/>
      <c r="C7" s="40"/>
      <c r="D7" s="40"/>
      <c r="E7" s="43"/>
      <c r="F7" s="40"/>
      <c r="G7" s="184"/>
      <c r="H7" s="40"/>
      <c r="I7" s="40"/>
      <c r="J7" s="40"/>
      <c r="K7" s="173"/>
      <c r="L7" s="40"/>
      <c r="M7" s="4" t="e">
        <f t="shared" si="0"/>
        <v>#DIV/0!</v>
      </c>
      <c r="N7" s="40"/>
      <c r="O7" s="40" t="s">
        <v>76</v>
      </c>
      <c r="P7" s="22" t="s">
        <v>56</v>
      </c>
      <c r="Q7" s="142"/>
    </row>
    <row r="8" spans="1:17" ht="12.75" customHeight="1">
      <c r="A8" s="174"/>
      <c r="B8" s="22"/>
      <c r="C8" s="40"/>
      <c r="D8" s="40"/>
      <c r="E8" s="43"/>
      <c r="F8" s="40"/>
      <c r="G8" s="184"/>
      <c r="H8" s="40"/>
      <c r="I8" s="40"/>
      <c r="J8" s="40"/>
      <c r="K8" s="173"/>
      <c r="L8" s="40"/>
      <c r="M8" s="4" t="e">
        <f t="shared" si="0"/>
        <v>#DIV/0!</v>
      </c>
      <c r="N8" s="40"/>
      <c r="O8" s="40" t="s">
        <v>76</v>
      </c>
      <c r="P8" s="22" t="s">
        <v>56</v>
      </c>
      <c r="Q8" s="142"/>
    </row>
    <row r="9" spans="1:17">
      <c r="A9" s="174"/>
      <c r="B9" s="22"/>
      <c r="C9" s="40"/>
      <c r="D9" s="40"/>
      <c r="E9" s="43"/>
      <c r="F9" s="40"/>
      <c r="G9" s="184"/>
      <c r="H9" s="40"/>
      <c r="I9" s="40"/>
      <c r="J9" s="40"/>
      <c r="K9" s="173"/>
      <c r="L9" s="40"/>
      <c r="M9" s="4" t="e">
        <f t="shared" si="0"/>
        <v>#DIV/0!</v>
      </c>
      <c r="N9" s="40"/>
      <c r="O9" s="40" t="s">
        <v>76</v>
      </c>
      <c r="P9" s="22" t="s">
        <v>56</v>
      </c>
      <c r="Q9" s="142"/>
    </row>
    <row r="10" spans="1:17">
      <c r="A10" s="174"/>
      <c r="B10" s="22"/>
      <c r="C10" s="40"/>
      <c r="D10" s="40"/>
      <c r="E10" s="43"/>
      <c r="F10" s="40"/>
      <c r="G10" s="184"/>
      <c r="H10" s="40"/>
      <c r="I10" s="40"/>
      <c r="J10" s="40"/>
      <c r="K10" s="173"/>
      <c r="L10" s="40"/>
      <c r="M10" s="4" t="e">
        <f t="shared" si="0"/>
        <v>#DIV/0!</v>
      </c>
      <c r="N10" s="40"/>
      <c r="O10" s="40" t="s">
        <v>76</v>
      </c>
      <c r="P10" s="22" t="s">
        <v>56</v>
      </c>
      <c r="Q10" s="142"/>
    </row>
    <row r="11" spans="1:17">
      <c r="A11" s="174"/>
      <c r="B11" s="22"/>
      <c r="C11" s="40"/>
      <c r="D11" s="40"/>
      <c r="E11" s="43"/>
      <c r="F11" s="40"/>
      <c r="G11" s="184"/>
      <c r="H11" s="40"/>
      <c r="I11" s="40"/>
      <c r="J11" s="40"/>
      <c r="K11" s="173"/>
      <c r="L11" s="40"/>
      <c r="M11" s="4" t="e">
        <f t="shared" si="0"/>
        <v>#DIV/0!</v>
      </c>
      <c r="N11" s="40"/>
      <c r="O11" s="40" t="s">
        <v>76</v>
      </c>
      <c r="P11" s="22" t="s">
        <v>56</v>
      </c>
      <c r="Q11" s="142"/>
    </row>
    <row r="12" spans="1:17">
      <c r="A12" s="174"/>
      <c r="B12" s="22"/>
      <c r="C12" s="40"/>
      <c r="D12" s="40"/>
      <c r="E12" s="43"/>
      <c r="F12" s="40"/>
      <c r="G12" s="184"/>
      <c r="H12" s="40"/>
      <c r="I12" s="40"/>
      <c r="J12" s="40"/>
      <c r="K12" s="173"/>
      <c r="L12" s="40"/>
      <c r="M12" s="4" t="e">
        <f t="shared" si="0"/>
        <v>#DIV/0!</v>
      </c>
      <c r="N12" s="40"/>
      <c r="O12" s="40" t="s">
        <v>76</v>
      </c>
      <c r="P12" s="22" t="s">
        <v>56</v>
      </c>
      <c r="Q12" s="142"/>
    </row>
    <row r="13" spans="1:17">
      <c r="A13" s="174"/>
      <c r="B13" s="22"/>
      <c r="C13" s="40"/>
      <c r="D13" s="40"/>
      <c r="E13" s="43"/>
      <c r="F13" s="40"/>
      <c r="G13" s="184"/>
      <c r="H13" s="40"/>
      <c r="I13" s="40"/>
      <c r="J13" s="40"/>
      <c r="K13" s="173"/>
      <c r="L13" s="40"/>
      <c r="M13" s="4" t="e">
        <f t="shared" si="0"/>
        <v>#DIV/0!</v>
      </c>
      <c r="N13" s="40"/>
      <c r="O13" s="40" t="s">
        <v>76</v>
      </c>
      <c r="P13" s="22" t="s">
        <v>56</v>
      </c>
      <c r="Q13" s="142"/>
    </row>
    <row r="14" spans="1:17">
      <c r="A14" s="174"/>
      <c r="B14" s="22"/>
      <c r="C14" s="40"/>
      <c r="D14" s="40"/>
      <c r="E14" s="43"/>
      <c r="F14" s="40"/>
      <c r="G14" s="184"/>
      <c r="H14" s="40"/>
      <c r="I14" s="40"/>
      <c r="J14" s="40"/>
      <c r="K14" s="173"/>
      <c r="L14" s="40"/>
      <c r="M14" s="4" t="e">
        <f t="shared" si="0"/>
        <v>#DIV/0!</v>
      </c>
      <c r="N14" s="40"/>
      <c r="O14" s="40" t="s">
        <v>76</v>
      </c>
      <c r="P14" s="22" t="s">
        <v>56</v>
      </c>
      <c r="Q14" s="142"/>
    </row>
    <row r="15" spans="1:17">
      <c r="A15" s="174"/>
      <c r="B15" s="22"/>
      <c r="C15" s="40"/>
      <c r="D15" s="40"/>
      <c r="E15" s="43"/>
      <c r="F15" s="40"/>
      <c r="G15" s="184"/>
      <c r="H15" s="40"/>
      <c r="I15" s="40"/>
      <c r="J15" s="40"/>
      <c r="K15" s="173"/>
      <c r="L15" s="40"/>
      <c r="M15" s="4" t="e">
        <f t="shared" si="0"/>
        <v>#DIV/0!</v>
      </c>
      <c r="N15" s="40"/>
      <c r="O15" s="40" t="s">
        <v>76</v>
      </c>
      <c r="P15" s="22" t="s">
        <v>56</v>
      </c>
      <c r="Q15" s="142"/>
    </row>
    <row r="16" spans="1:17">
      <c r="A16" s="3"/>
      <c r="B16" s="3"/>
      <c r="C16" s="3"/>
      <c r="D16" s="3"/>
      <c r="E16" s="178"/>
      <c r="F16" s="40"/>
      <c r="G16" s="50"/>
      <c r="H16" s="3"/>
      <c r="I16" s="5"/>
      <c r="J16" s="40"/>
      <c r="K16" s="5"/>
      <c r="L16" s="3"/>
      <c r="M16" s="4" t="e">
        <f t="shared" si="0"/>
        <v>#DIV/0!</v>
      </c>
      <c r="N16" s="38"/>
      <c r="O16" s="40" t="s">
        <v>76</v>
      </c>
      <c r="P16" s="22" t="s">
        <v>56</v>
      </c>
      <c r="Q16" s="142"/>
    </row>
    <row r="17" spans="1:17">
      <c r="A17" s="3"/>
      <c r="B17" s="3"/>
      <c r="C17" s="3"/>
      <c r="D17" s="3"/>
      <c r="E17" s="178"/>
      <c r="F17" s="40"/>
      <c r="G17" s="50"/>
      <c r="H17" s="3"/>
      <c r="I17" s="5"/>
      <c r="J17" s="40"/>
      <c r="K17" s="5"/>
      <c r="L17" s="3"/>
      <c r="M17" s="4" t="e">
        <f t="shared" si="0"/>
        <v>#DIV/0!</v>
      </c>
      <c r="N17" s="38"/>
      <c r="O17" s="40" t="s">
        <v>76</v>
      </c>
      <c r="P17" s="22" t="s">
        <v>56</v>
      </c>
      <c r="Q17" s="142"/>
    </row>
    <row r="18" spans="1:17">
      <c r="A18" s="3"/>
      <c r="B18" s="3"/>
      <c r="C18" s="3"/>
      <c r="D18" s="3"/>
      <c r="E18" s="178"/>
      <c r="F18" s="40"/>
      <c r="G18" s="50"/>
      <c r="H18" s="3"/>
      <c r="I18" s="5"/>
      <c r="J18" s="40"/>
      <c r="K18" s="5"/>
      <c r="L18" s="3"/>
      <c r="M18" s="4" t="e">
        <f t="shared" si="0"/>
        <v>#DIV/0!</v>
      </c>
      <c r="N18" s="38"/>
      <c r="O18" s="40" t="s">
        <v>76</v>
      </c>
      <c r="P18" s="22" t="s">
        <v>56</v>
      </c>
      <c r="Q18" s="142"/>
    </row>
    <row r="19" spans="1:17">
      <c r="A19" s="109"/>
      <c r="B19" s="109"/>
      <c r="C19" s="109"/>
      <c r="D19" s="109"/>
      <c r="E19" s="179"/>
      <c r="F19" s="40"/>
      <c r="G19" s="189"/>
      <c r="H19" s="109"/>
      <c r="I19" s="111"/>
      <c r="J19" s="103"/>
      <c r="K19" s="111"/>
      <c r="L19" s="109"/>
      <c r="M19" s="4" t="e">
        <f t="shared" si="0"/>
        <v>#DIV/0!</v>
      </c>
      <c r="N19" s="113"/>
      <c r="O19" s="40" t="s">
        <v>76</v>
      </c>
      <c r="P19" s="108" t="s">
        <v>56</v>
      </c>
      <c r="Q19" s="142"/>
    </row>
    <row r="20" spans="1:17">
      <c r="A20" s="3"/>
      <c r="B20" s="3"/>
      <c r="C20" s="3"/>
      <c r="D20" s="3"/>
      <c r="E20" s="178"/>
      <c r="F20" s="40"/>
      <c r="G20" s="50"/>
      <c r="H20" s="3"/>
      <c r="I20" s="47"/>
      <c r="J20" s="40"/>
      <c r="K20" s="171"/>
      <c r="L20" s="3"/>
      <c r="M20" s="4" t="e">
        <f t="shared" si="0"/>
        <v>#DIV/0!</v>
      </c>
      <c r="N20" s="3"/>
      <c r="O20" s="40" t="s">
        <v>76</v>
      </c>
      <c r="P20" s="22" t="s">
        <v>56</v>
      </c>
      <c r="Q20" s="142"/>
    </row>
    <row r="21" spans="1:17">
      <c r="A21" s="72"/>
      <c r="B21" s="72"/>
      <c r="C21" s="72"/>
      <c r="D21" s="72"/>
      <c r="E21" s="73"/>
      <c r="F21" s="76"/>
      <c r="G21" s="72"/>
      <c r="H21" s="72"/>
      <c r="I21" s="52"/>
      <c r="J21" s="76"/>
      <c r="K21" s="52"/>
      <c r="L21" s="72"/>
      <c r="M21" s="74"/>
      <c r="N21" s="72"/>
      <c r="O21" s="172"/>
      <c r="P21" s="26"/>
    </row>
    <row r="22" spans="1:17">
      <c r="A22" s="72"/>
      <c r="B22" s="72"/>
      <c r="C22" s="72"/>
      <c r="D22" s="72"/>
      <c r="E22" s="73"/>
      <c r="F22" s="76"/>
      <c r="G22" s="72"/>
      <c r="H22" s="72"/>
      <c r="I22" s="52"/>
      <c r="J22" s="76"/>
      <c r="K22" s="52"/>
      <c r="L22" s="72"/>
      <c r="M22" s="74"/>
      <c r="N22" s="72"/>
      <c r="O22" s="172"/>
      <c r="P22" s="26"/>
    </row>
    <row r="23" spans="1:17">
      <c r="A23" s="72"/>
      <c r="B23" s="72"/>
      <c r="C23" s="72"/>
      <c r="D23" s="72"/>
      <c r="E23" s="73"/>
      <c r="F23" s="76"/>
      <c r="G23" s="72"/>
      <c r="H23" s="72"/>
      <c r="I23" s="52"/>
      <c r="J23" s="76"/>
      <c r="K23" s="52"/>
      <c r="L23" s="72"/>
      <c r="M23" s="74"/>
      <c r="N23" s="72"/>
      <c r="O23" s="172"/>
      <c r="P23" s="26"/>
    </row>
    <row r="24" spans="1:17">
      <c r="A24" s="72"/>
      <c r="B24" s="72"/>
      <c r="C24" s="72"/>
      <c r="D24" s="72"/>
      <c r="E24" s="73"/>
      <c r="F24" s="76"/>
      <c r="G24" s="72"/>
      <c r="H24" s="72"/>
      <c r="I24" s="52"/>
      <c r="J24" s="76"/>
      <c r="K24" s="52"/>
      <c r="L24" s="72"/>
      <c r="M24" s="74"/>
      <c r="N24" s="72"/>
      <c r="O24" s="172"/>
      <c r="P24" s="26"/>
    </row>
    <row r="25" spans="1:17">
      <c r="A25" s="72"/>
      <c r="B25" s="72"/>
      <c r="C25" s="72"/>
      <c r="D25" s="72"/>
      <c r="E25" s="73"/>
      <c r="F25" s="76"/>
      <c r="G25" s="72"/>
      <c r="H25" s="72"/>
      <c r="I25" s="52"/>
      <c r="J25" s="76"/>
      <c r="K25" s="52"/>
      <c r="L25" s="72"/>
      <c r="M25" s="74"/>
      <c r="N25" s="72"/>
      <c r="O25" s="172"/>
      <c r="P25" s="26"/>
    </row>
    <row r="26" spans="1:17">
      <c r="A26" s="72"/>
      <c r="B26" s="72"/>
      <c r="C26" s="72"/>
      <c r="D26" s="72"/>
      <c r="E26" s="73"/>
      <c r="F26" s="76"/>
      <c r="G26" s="72"/>
      <c r="H26" s="72"/>
      <c r="I26" s="52"/>
      <c r="J26" s="76"/>
      <c r="K26" s="52"/>
      <c r="L26" s="72"/>
      <c r="M26" s="74"/>
      <c r="N26" s="72"/>
      <c r="O26" s="172"/>
      <c r="P26" s="26"/>
    </row>
    <row r="27" spans="1:17">
      <c r="A27" s="72"/>
      <c r="B27" s="72"/>
      <c r="C27" s="72"/>
      <c r="D27" s="72"/>
      <c r="E27" s="73"/>
      <c r="F27" s="76"/>
      <c r="G27" s="72"/>
      <c r="H27" s="72"/>
      <c r="I27" s="52"/>
      <c r="J27" s="76"/>
      <c r="K27" s="52"/>
      <c r="L27" s="72"/>
      <c r="M27" s="74"/>
      <c r="N27" s="72"/>
      <c r="O27" s="172"/>
      <c r="P27" s="26"/>
    </row>
    <row r="28" spans="1:17">
      <c r="A28" s="72"/>
      <c r="B28" s="72"/>
      <c r="C28" s="72"/>
      <c r="D28" s="72"/>
      <c r="E28" s="73"/>
      <c r="F28" s="76"/>
      <c r="G28" s="72"/>
      <c r="H28" s="72"/>
      <c r="I28" s="52"/>
      <c r="J28" s="76"/>
      <c r="K28" s="52"/>
      <c r="L28" s="72"/>
      <c r="M28" s="74"/>
      <c r="N28" s="72"/>
      <c r="O28" s="172"/>
      <c r="P28" s="26"/>
    </row>
    <row r="29" spans="1:17">
      <c r="A29" s="72"/>
      <c r="B29" s="72"/>
      <c r="C29" s="72"/>
      <c r="D29" s="72"/>
      <c r="E29" s="73"/>
      <c r="F29" s="76"/>
      <c r="G29" s="72"/>
      <c r="H29" s="72"/>
      <c r="I29" s="52"/>
      <c r="J29" s="76"/>
      <c r="K29" s="52"/>
      <c r="L29" s="72"/>
      <c r="M29" s="74"/>
      <c r="N29" s="72"/>
      <c r="O29" s="172"/>
      <c r="P29" s="26"/>
    </row>
    <row r="30" spans="1:17">
      <c r="A30" s="72"/>
      <c r="B30" s="72"/>
      <c r="C30" s="72"/>
      <c r="D30" s="72"/>
      <c r="E30" s="73"/>
      <c r="F30" s="76"/>
      <c r="G30" s="72"/>
      <c r="H30" s="72"/>
      <c r="I30" s="52"/>
      <c r="J30" s="76"/>
      <c r="K30" s="52"/>
      <c r="L30" s="72"/>
      <c r="M30" s="74"/>
      <c r="N30" s="72"/>
      <c r="O30" s="172"/>
      <c r="P30" s="26"/>
    </row>
    <row r="31" spans="1:17">
      <c r="A31" s="72"/>
      <c r="B31" s="72"/>
      <c r="C31" s="72"/>
      <c r="D31" s="72"/>
      <c r="E31" s="73"/>
      <c r="F31" s="76"/>
      <c r="G31" s="72"/>
      <c r="H31" s="72"/>
      <c r="I31" s="52"/>
      <c r="J31" s="76"/>
      <c r="K31" s="52"/>
      <c r="L31" s="72"/>
      <c r="M31" s="74"/>
      <c r="N31" s="72"/>
      <c r="O31" s="172"/>
      <c r="P31" s="26"/>
    </row>
    <row r="32" spans="1:17">
      <c r="A32" s="72"/>
      <c r="B32" s="72"/>
      <c r="C32" s="72"/>
      <c r="D32" s="72"/>
      <c r="E32" s="73"/>
      <c r="F32" s="76"/>
      <c r="G32" s="72"/>
      <c r="H32" s="72"/>
      <c r="I32" s="52"/>
      <c r="J32" s="76"/>
      <c r="K32" s="52"/>
      <c r="L32" s="72"/>
      <c r="M32" s="74"/>
      <c r="N32" s="72"/>
      <c r="O32" s="172"/>
      <c r="P32" s="26"/>
    </row>
    <row r="33" spans="1:16">
      <c r="A33" s="72"/>
      <c r="B33" s="72"/>
      <c r="C33" s="72"/>
      <c r="D33" s="72"/>
      <c r="E33" s="73"/>
      <c r="F33" s="76"/>
      <c r="G33" s="72"/>
      <c r="H33" s="72"/>
      <c r="I33" s="52"/>
      <c r="J33" s="76"/>
      <c r="K33" s="52"/>
      <c r="L33" s="72"/>
      <c r="M33" s="74"/>
      <c r="N33" s="72"/>
      <c r="O33" s="172"/>
      <c r="P33" s="26"/>
    </row>
    <row r="34" spans="1:16">
      <c r="C34" s="72"/>
      <c r="D34" s="72"/>
      <c r="E34" s="73"/>
      <c r="F34" s="76"/>
      <c r="G34" s="72"/>
      <c r="H34" s="72"/>
      <c r="I34" s="52"/>
      <c r="J34" s="76"/>
      <c r="K34" s="52"/>
      <c r="L34" s="72"/>
      <c r="M34" s="74"/>
      <c r="N34" s="72"/>
      <c r="O34" s="172"/>
      <c r="P34" s="26"/>
    </row>
    <row r="35" spans="1:16">
      <c r="C35" s="72"/>
      <c r="D35" s="72"/>
      <c r="E35" s="73"/>
      <c r="F35" s="76"/>
      <c r="G35" s="72"/>
      <c r="H35" s="72"/>
      <c r="I35" s="52"/>
      <c r="J35" s="76"/>
      <c r="K35" s="52"/>
      <c r="L35" s="72"/>
      <c r="M35" s="74"/>
      <c r="N35" s="72"/>
      <c r="O35" s="172"/>
      <c r="P35" s="26"/>
    </row>
    <row r="36" spans="1:16">
      <c r="C36" s="72"/>
      <c r="D36" s="72"/>
      <c r="E36" s="73"/>
      <c r="F36" s="76"/>
      <c r="G36" s="72"/>
      <c r="H36" s="72"/>
      <c r="I36" s="52"/>
      <c r="J36" s="76"/>
      <c r="K36" s="52"/>
      <c r="L36" s="72"/>
      <c r="M36" s="74"/>
      <c r="N36" s="72"/>
      <c r="O36" s="172"/>
      <c r="P36" s="26"/>
    </row>
    <row r="37" spans="1:16">
      <c r="C37" s="72"/>
      <c r="D37" s="72"/>
      <c r="E37" s="73"/>
      <c r="F37" s="76"/>
      <c r="G37" s="72"/>
      <c r="H37" s="72"/>
      <c r="I37" s="52"/>
      <c r="J37" s="76"/>
      <c r="K37" s="52"/>
      <c r="L37" s="72"/>
      <c r="M37" s="74"/>
      <c r="N37" s="72"/>
      <c r="O37" s="172"/>
      <c r="P37" s="26"/>
    </row>
    <row r="38" spans="1:16">
      <c r="C38" s="72"/>
      <c r="D38" s="72"/>
      <c r="E38" s="73"/>
      <c r="F38" s="76"/>
      <c r="G38" s="72"/>
      <c r="H38" s="72"/>
      <c r="I38" s="52"/>
      <c r="J38" s="76"/>
      <c r="K38" s="52"/>
      <c r="L38" s="72"/>
      <c r="M38" s="74"/>
      <c r="N38" s="72"/>
      <c r="O38" s="172"/>
      <c r="P38" s="26"/>
    </row>
    <row r="39" spans="1:16">
      <c r="C39" s="72"/>
      <c r="D39" s="72"/>
      <c r="E39" s="73"/>
      <c r="F39" s="76"/>
      <c r="G39" s="72"/>
      <c r="H39" s="72"/>
      <c r="I39" s="52"/>
      <c r="J39" s="76"/>
      <c r="K39" s="52"/>
      <c r="L39" s="72"/>
      <c r="M39" s="74"/>
      <c r="N39" s="72"/>
      <c r="O39" s="172"/>
      <c r="P39" s="26"/>
    </row>
    <row r="40" spans="1:16">
      <c r="C40" s="72"/>
      <c r="D40" s="72"/>
      <c r="E40" s="73"/>
      <c r="F40" s="76"/>
      <c r="G40" s="72"/>
      <c r="H40" s="72"/>
      <c r="I40" s="52"/>
      <c r="J40" s="76"/>
      <c r="K40" s="52"/>
      <c r="L40" s="72"/>
      <c r="M40" s="74"/>
      <c r="N40" s="72"/>
      <c r="O40" s="172"/>
      <c r="P40" s="26"/>
    </row>
    <row r="41" spans="1:16">
      <c r="C41" s="72"/>
      <c r="D41" s="72"/>
      <c r="E41" s="73"/>
      <c r="F41" s="76"/>
      <c r="G41" s="72"/>
      <c r="H41" s="72"/>
      <c r="I41" s="52"/>
      <c r="J41" s="76"/>
      <c r="K41" s="52"/>
      <c r="L41" s="72"/>
      <c r="M41" s="74"/>
      <c r="N41" s="72"/>
      <c r="O41" s="172"/>
      <c r="P41" s="26"/>
    </row>
    <row r="42" spans="1:16">
      <c r="C42" s="72"/>
      <c r="D42" s="72"/>
      <c r="E42" s="73"/>
      <c r="F42" s="76"/>
      <c r="G42" s="72"/>
      <c r="H42" s="72"/>
      <c r="I42" s="52"/>
      <c r="J42" s="76"/>
      <c r="K42" s="52"/>
      <c r="L42" s="72"/>
      <c r="M42" s="74"/>
      <c r="N42" s="72"/>
      <c r="O42" s="172"/>
      <c r="P42" s="26"/>
    </row>
    <row r="43" spans="1:16">
      <c r="C43" s="72"/>
      <c r="D43" s="72"/>
      <c r="E43" s="73"/>
      <c r="F43" s="76"/>
      <c r="G43" s="72"/>
      <c r="H43" s="72"/>
      <c r="I43" s="52"/>
      <c r="J43" s="76"/>
      <c r="K43" s="52"/>
      <c r="L43" s="72"/>
      <c r="M43" s="74"/>
      <c r="N43" s="72"/>
      <c r="O43" s="172"/>
      <c r="P43" s="26"/>
    </row>
    <row r="44" spans="1:16">
      <c r="C44" s="72"/>
      <c r="D44" s="72"/>
      <c r="E44" s="73"/>
      <c r="F44" s="76"/>
      <c r="G44" s="72"/>
      <c r="H44" s="72"/>
      <c r="I44" s="52"/>
      <c r="J44" s="76"/>
      <c r="K44" s="52"/>
      <c r="L44" s="72"/>
      <c r="M44" s="74"/>
      <c r="N44" s="72"/>
      <c r="O44" s="172"/>
      <c r="P44" s="26"/>
    </row>
    <row r="45" spans="1:16">
      <c r="C45" s="72"/>
      <c r="D45" s="72"/>
      <c r="E45" s="73"/>
      <c r="F45" s="76"/>
      <c r="G45" s="72"/>
      <c r="H45" s="72"/>
      <c r="I45" s="52"/>
      <c r="J45" s="76"/>
      <c r="K45" s="52"/>
      <c r="L45" s="72"/>
      <c r="M45" s="74"/>
      <c r="N45" s="72"/>
      <c r="O45" s="172"/>
      <c r="P45" s="26"/>
    </row>
    <row r="46" spans="1:16">
      <c r="C46" s="72"/>
      <c r="D46" s="72"/>
      <c r="E46" s="73"/>
      <c r="F46" s="76"/>
      <c r="G46" s="72"/>
      <c r="H46" s="72"/>
      <c r="I46" s="52"/>
      <c r="J46" s="76"/>
      <c r="K46" s="52"/>
      <c r="L46" s="72"/>
      <c r="M46" s="74"/>
      <c r="N46" s="72"/>
      <c r="O46" s="172"/>
      <c r="P46" s="26"/>
    </row>
    <row r="47" spans="1:16">
      <c r="C47" s="72"/>
      <c r="D47" s="72"/>
      <c r="E47" s="73"/>
      <c r="F47" s="76"/>
      <c r="G47" s="72"/>
      <c r="H47" s="72"/>
      <c r="I47" s="52"/>
      <c r="J47" s="76"/>
      <c r="K47" s="52"/>
      <c r="L47" s="72"/>
      <c r="M47" s="74"/>
      <c r="N47" s="72"/>
      <c r="O47" s="172"/>
      <c r="P47" s="26"/>
    </row>
    <row r="48" spans="1:16">
      <c r="C48" s="72"/>
      <c r="D48" s="72"/>
      <c r="E48" s="73"/>
      <c r="F48" s="76"/>
      <c r="G48" s="72"/>
      <c r="H48" s="72"/>
      <c r="I48" s="52"/>
      <c r="J48" s="76"/>
      <c r="K48" s="52"/>
      <c r="L48" s="72"/>
      <c r="M48" s="74"/>
      <c r="N48" s="72"/>
      <c r="O48" s="172"/>
      <c r="P48" s="26"/>
    </row>
    <row r="49" spans="3:16">
      <c r="C49" s="72"/>
      <c r="D49" s="72"/>
      <c r="E49" s="73"/>
      <c r="F49" s="76"/>
      <c r="G49" s="72"/>
      <c r="H49" s="72"/>
      <c r="I49" s="52"/>
      <c r="J49" s="76"/>
      <c r="K49" s="52"/>
      <c r="L49" s="72"/>
      <c r="M49" s="74"/>
      <c r="N49" s="72"/>
      <c r="O49" s="172"/>
      <c r="P49" s="26"/>
    </row>
    <row r="50" spans="3:16">
      <c r="C50" s="72"/>
      <c r="D50" s="72"/>
      <c r="E50" s="73"/>
      <c r="F50" s="76"/>
      <c r="G50" s="72"/>
      <c r="H50" s="72"/>
      <c r="I50" s="52"/>
      <c r="J50" s="76"/>
      <c r="K50" s="52"/>
      <c r="L50" s="72"/>
      <c r="M50" s="74"/>
      <c r="N50" s="72"/>
      <c r="O50" s="172"/>
      <c r="P50" s="26"/>
    </row>
    <row r="51" spans="3:16">
      <c r="J51" s="76"/>
    </row>
    <row r="52" spans="3:16">
      <c r="J52" s="76"/>
    </row>
  </sheetData>
  <sheetProtection formatCells="0" sort="0" autoFilter="0" pivotTables="0"/>
  <autoFilter ref="A1:Q1"/>
  <phoneticPr fontId="3" type="noConversion"/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ageMargins left="0.75" right="0.75" top="1" bottom="1" header="0.5" footer="0.5"/>
  <pageSetup paperSize="9" orientation="portrait" copies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6</vt:i4>
      </vt:variant>
    </vt:vector>
  </HeadingPairs>
  <TitlesOfParts>
    <vt:vector size="35" baseType="lpstr">
      <vt:lpstr>Параллель</vt:lpstr>
      <vt:lpstr>Диаграммы</vt:lpstr>
      <vt:lpstr>Процент_выполнения</vt:lpstr>
      <vt:lpstr>Отчет</vt:lpstr>
      <vt:lpstr>Английский_язык</vt:lpstr>
      <vt:lpstr>Астрономия</vt:lpstr>
      <vt:lpstr>Биология</vt:lpstr>
      <vt:lpstr>География</vt:lpstr>
      <vt:lpstr>Информатика</vt:lpstr>
      <vt:lpstr>Искусство</vt:lpstr>
      <vt:lpstr>Испанский_язык</vt:lpstr>
      <vt:lpstr>История</vt:lpstr>
      <vt:lpstr>Итальянский_язык</vt:lpstr>
      <vt:lpstr>Китайский_язык</vt:lpstr>
      <vt:lpstr>Литература</vt:lpstr>
      <vt:lpstr>Математика</vt:lpstr>
      <vt:lpstr>Немецкий_язык</vt:lpstr>
      <vt:lpstr>ОБЖ</vt:lpstr>
      <vt:lpstr>Обществознание</vt:lpstr>
      <vt:lpstr>Право</vt:lpstr>
      <vt:lpstr>Русский_язык</vt:lpstr>
      <vt:lpstr>Технология</vt:lpstr>
      <vt:lpstr>Физика</vt:lpstr>
      <vt:lpstr>Физическая_культура</vt:lpstr>
      <vt:lpstr>Французский_язык</vt:lpstr>
      <vt:lpstr>Химия</vt:lpstr>
      <vt:lpstr>Экология</vt:lpstr>
      <vt:lpstr>Экономика</vt:lpstr>
      <vt:lpstr>Коды</vt:lpstr>
      <vt:lpstr>ОВЗ</vt:lpstr>
      <vt:lpstr>ОУ</vt:lpstr>
      <vt:lpstr>Пол</vt:lpstr>
      <vt:lpstr>Район</vt:lpstr>
      <vt:lpstr>Специализированные_классы</vt:lpstr>
      <vt:lpstr>Статус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gcro</dc:creator>
  <cp:lastModifiedBy>Ольга Сергеевна</cp:lastModifiedBy>
  <cp:lastPrinted>2019-10-10T11:42:10Z</cp:lastPrinted>
  <dcterms:created xsi:type="dcterms:W3CDTF">2009-10-02T04:15:36Z</dcterms:created>
  <dcterms:modified xsi:type="dcterms:W3CDTF">2019-10-10T11:56:09Z</dcterms:modified>
</cp:coreProperties>
</file>